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drawings/drawing2.xml" ContentType="application/vnd.openxmlformats-officedocument.drawing+xml"/>
  <Override PartName="/xl/ink/ink2.xml" ContentType="application/inkml+xml"/>
  <Override PartName="/xl/drawings/drawing3.xml" ContentType="application/vnd.openxmlformats-officedocument.drawing+xml"/>
  <Override PartName="/xl/ink/ink3.xml" ContentType="application/inkml+xml"/>
  <Override PartName="/xl/drawings/drawing4.xml" ContentType="application/vnd.openxmlformats-officedocument.drawing+xml"/>
  <Override PartName="/xl/ink/ink4.xml" ContentType="application/inkml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ink/ink5.xml" ContentType="application/inkml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S:\Budgets\Capital Programs\FY21-25 Capital program\"/>
    </mc:Choice>
  </mc:AlternateContent>
  <xr:revisionPtr revIDLastSave="0" documentId="8_{7FDB9F0B-E4B9-4CE6-93DC-3A6AACC68E70}" xr6:coauthVersionLast="45" xr6:coauthVersionMax="45" xr10:uidLastSave="{00000000-0000-0000-0000-000000000000}"/>
  <bookViews>
    <workbookView xWindow="-120" yWindow="-120" windowWidth="25440" windowHeight="15390" tabRatio="745" xr2:uid="{00000000-000D-0000-FFFF-FFFF00000000}"/>
  </bookViews>
  <sheets>
    <sheet name="FY21 Capital Program" sheetId="9" r:id="rId1"/>
    <sheet name="FY22 Capital Program" sheetId="10" r:id="rId2"/>
    <sheet name="FY23 Capital Program" sheetId="11" r:id="rId3"/>
    <sheet name="FY 24 Capital Program" sheetId="13" r:id="rId4"/>
    <sheet name="FY 25 Capital Program" sheetId="14" r:id="rId5"/>
    <sheet name="Payments Table" sheetId="12" r:id="rId6"/>
    <sheet name="Historical Timeline" sheetId="15" r:id="rId7"/>
  </sheets>
  <definedNames>
    <definedName name="_xlnm.Print_Area" localSheetId="0">'FY21 Capital Program'!$A$6:$H$31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15" l="1"/>
  <c r="A1" i="14"/>
  <c r="A1" i="13"/>
  <c r="A1" i="11"/>
  <c r="A1" i="10"/>
  <c r="F42" i="9" l="1"/>
  <c r="O17" i="9"/>
  <c r="N17" i="9"/>
  <c r="M17" i="9"/>
  <c r="L17" i="9"/>
  <c r="H17" i="9" s="1"/>
  <c r="K17" i="9"/>
  <c r="F43" i="9" l="1"/>
  <c r="J28" i="9"/>
  <c r="O15" i="9"/>
  <c r="N15" i="9"/>
  <c r="M15" i="9"/>
  <c r="H15" i="9" s="1"/>
  <c r="L15" i="9"/>
  <c r="K15" i="9"/>
  <c r="J14" i="9"/>
  <c r="H14" i="9" s="1"/>
  <c r="A3" i="15" l="1"/>
  <c r="E20" i="15"/>
  <c r="G20" i="15" s="1"/>
  <c r="E19" i="15"/>
  <c r="G19" i="15" s="1"/>
  <c r="C19" i="15"/>
  <c r="E18" i="15"/>
  <c r="G18" i="15" s="1"/>
  <c r="E17" i="15"/>
  <c r="G17" i="15" s="1"/>
  <c r="E16" i="15"/>
  <c r="G16" i="15" s="1"/>
  <c r="E15" i="15"/>
  <c r="G15" i="15" s="1"/>
  <c r="E14" i="15"/>
  <c r="G14" i="15" s="1"/>
  <c r="E13" i="15"/>
  <c r="G13" i="15" s="1"/>
  <c r="E12" i="15"/>
  <c r="G12" i="15" s="1"/>
  <c r="E11" i="15"/>
  <c r="G11" i="15" s="1"/>
  <c r="E21" i="15" l="1"/>
  <c r="G21" i="15" s="1"/>
  <c r="AA39" i="12"/>
  <c r="Z39" i="12"/>
  <c r="AA37" i="12"/>
  <c r="AA38" i="12" s="1"/>
  <c r="Z37" i="12"/>
  <c r="T9" i="9"/>
  <c r="S9" i="9"/>
  <c r="R9" i="9"/>
  <c r="Q9" i="9"/>
  <c r="P9" i="9"/>
  <c r="O9" i="9"/>
  <c r="N9" i="9"/>
  <c r="M9" i="9"/>
  <c r="L9" i="9"/>
  <c r="K9" i="9"/>
  <c r="AA40" i="12" l="1"/>
  <c r="Z41" i="12"/>
  <c r="AA41" i="12"/>
  <c r="AA42" i="12" l="1"/>
  <c r="J8" i="9"/>
  <c r="Y39" i="12" l="1"/>
  <c r="Z40" i="12" s="1"/>
  <c r="X39" i="12"/>
  <c r="W39" i="12"/>
  <c r="V39" i="12"/>
  <c r="U39" i="12"/>
  <c r="T39" i="12"/>
  <c r="S39" i="12"/>
  <c r="R39" i="12"/>
  <c r="Q39" i="12"/>
  <c r="P39" i="12"/>
  <c r="O39" i="12"/>
  <c r="S40" i="12" l="1"/>
  <c r="P40" i="12"/>
  <c r="Y40" i="12"/>
  <c r="X40" i="12"/>
  <c r="W40" i="12"/>
  <c r="V40" i="12"/>
  <c r="U40" i="12"/>
  <c r="T40" i="12"/>
  <c r="R40" i="12"/>
  <c r="Q40" i="12"/>
  <c r="A1" i="12"/>
  <c r="F31" i="14"/>
  <c r="F26" i="13"/>
  <c r="F29" i="11"/>
  <c r="F30" i="10"/>
  <c r="F37" i="9"/>
  <c r="F4" i="14"/>
  <c r="F3" i="14"/>
  <c r="F4" i="13"/>
  <c r="F3" i="13"/>
  <c r="AD8" i="13" s="1"/>
  <c r="F4" i="11"/>
  <c r="F3" i="11"/>
  <c r="F4" i="10"/>
  <c r="F3" i="10"/>
  <c r="J22" i="14"/>
  <c r="J15" i="14"/>
  <c r="J14" i="14"/>
  <c r="J13" i="14"/>
  <c r="J12" i="14"/>
  <c r="J11" i="14"/>
  <c r="J10" i="14"/>
  <c r="J8" i="14"/>
  <c r="AE23" i="13"/>
  <c r="AD23" i="13"/>
  <c r="Z56" i="12" s="1"/>
  <c r="AC23" i="13"/>
  <c r="Y56" i="12" s="1"/>
  <c r="AB23" i="13"/>
  <c r="X56" i="12" s="1"/>
  <c r="AA23" i="13"/>
  <c r="W56" i="12" s="1"/>
  <c r="Z23" i="13"/>
  <c r="V56" i="12" s="1"/>
  <c r="Y23" i="13"/>
  <c r="U56" i="12" s="1"/>
  <c r="X23" i="13"/>
  <c r="T56" i="12" s="1"/>
  <c r="W23" i="13"/>
  <c r="S56" i="12" s="1"/>
  <c r="V23" i="13"/>
  <c r="R56" i="12" s="1"/>
  <c r="U23" i="13"/>
  <c r="Q56" i="12" s="1"/>
  <c r="T23" i="13"/>
  <c r="P56" i="12" s="1"/>
  <c r="S23" i="13"/>
  <c r="O56" i="12" s="1"/>
  <c r="R23" i="13"/>
  <c r="N56" i="12" s="1"/>
  <c r="Q23" i="13"/>
  <c r="M56" i="12" s="1"/>
  <c r="P23" i="13"/>
  <c r="L56" i="12" s="1"/>
  <c r="O23" i="13"/>
  <c r="K56" i="12" s="1"/>
  <c r="N23" i="13"/>
  <c r="J56" i="12" s="1"/>
  <c r="M23" i="13"/>
  <c r="I56" i="12" s="1"/>
  <c r="L23" i="13"/>
  <c r="H56" i="12" s="1"/>
  <c r="K23" i="13"/>
  <c r="G56" i="12" s="1"/>
  <c r="AE20" i="13"/>
  <c r="F20" i="13"/>
  <c r="C25" i="15" s="1"/>
  <c r="F31" i="13"/>
  <c r="F30" i="13"/>
  <c r="F29" i="13"/>
  <c r="F28" i="13"/>
  <c r="F27" i="13"/>
  <c r="F25" i="13"/>
  <c r="J19" i="13"/>
  <c r="J23" i="13" s="1"/>
  <c r="F56" i="12" s="1"/>
  <c r="J17" i="13"/>
  <c r="J14" i="13"/>
  <c r="J13" i="13"/>
  <c r="J12" i="13"/>
  <c r="J20" i="13" s="1"/>
  <c r="J11" i="13"/>
  <c r="J10" i="13"/>
  <c r="J9" i="13"/>
  <c r="J22" i="11"/>
  <c r="J21" i="11"/>
  <c r="J17" i="11"/>
  <c r="J14" i="11"/>
  <c r="J13" i="11"/>
  <c r="J12" i="10"/>
  <c r="J13" i="10"/>
  <c r="J17" i="10"/>
  <c r="J23" i="10"/>
  <c r="J22" i="10"/>
  <c r="R18" i="11" l="1"/>
  <c r="N18" i="11"/>
  <c r="T18" i="11"/>
  <c r="L18" i="11"/>
  <c r="O18" i="11"/>
  <c r="Q18" i="11"/>
  <c r="M18" i="11"/>
  <c r="P18" i="11"/>
  <c r="S18" i="11"/>
  <c r="K18" i="11"/>
  <c r="S23" i="14"/>
  <c r="R23" i="14"/>
  <c r="Q23" i="14"/>
  <c r="M23" i="14"/>
  <c r="O23" i="14"/>
  <c r="N23" i="14"/>
  <c r="T23" i="14"/>
  <c r="P23" i="14"/>
  <c r="L23" i="14"/>
  <c r="K23" i="14"/>
  <c r="H23" i="14" s="1"/>
  <c r="Q18" i="10"/>
  <c r="M18" i="10"/>
  <c r="O18" i="10"/>
  <c r="R18" i="10"/>
  <c r="T18" i="10"/>
  <c r="P18" i="10"/>
  <c r="L18" i="10"/>
  <c r="S18" i="10"/>
  <c r="K18" i="10"/>
  <c r="N18" i="10"/>
  <c r="AM19" i="10"/>
  <c r="AI19" i="10"/>
  <c r="AE19" i="10"/>
  <c r="AL19" i="10"/>
  <c r="AH19" i="10"/>
  <c r="AG19" i="10"/>
  <c r="AN19" i="10"/>
  <c r="AF19" i="10"/>
  <c r="AK19" i="10"/>
  <c r="AJ19" i="10"/>
  <c r="S18" i="13"/>
  <c r="O18" i="13"/>
  <c r="K18" i="13"/>
  <c r="Q18" i="13"/>
  <c r="P18" i="13"/>
  <c r="R18" i="13"/>
  <c r="N18" i="13"/>
  <c r="M18" i="13"/>
  <c r="T18" i="13"/>
  <c r="L18" i="13"/>
  <c r="L10" i="11"/>
  <c r="T10" i="11"/>
  <c r="R11" i="11"/>
  <c r="M11" i="11"/>
  <c r="P10" i="11"/>
  <c r="N11" i="11"/>
  <c r="O10" i="11"/>
  <c r="K10" i="11"/>
  <c r="S10" i="11"/>
  <c r="Q11" i="11"/>
  <c r="K8" i="13"/>
  <c r="O8" i="13"/>
  <c r="S8" i="13"/>
  <c r="W8" i="13"/>
  <c r="AA8" i="13"/>
  <c r="L8" i="13"/>
  <c r="P8" i="13"/>
  <c r="T8" i="13"/>
  <c r="X8" i="13"/>
  <c r="AB8" i="13"/>
  <c r="M10" i="11"/>
  <c r="Q10" i="11"/>
  <c r="K11" i="11"/>
  <c r="O11" i="11"/>
  <c r="S11" i="11"/>
  <c r="M8" i="13"/>
  <c r="Q8" i="13"/>
  <c r="U8" i="13"/>
  <c r="Y8" i="13"/>
  <c r="AC8" i="13"/>
  <c r="N10" i="11"/>
  <c r="R10" i="11"/>
  <c r="L11" i="11"/>
  <c r="P11" i="11"/>
  <c r="T11" i="11"/>
  <c r="N8" i="13"/>
  <c r="R8" i="13"/>
  <c r="V8" i="13"/>
  <c r="Z8" i="13"/>
  <c r="AF31" i="9"/>
  <c r="AE31" i="9"/>
  <c r="AE24" i="10"/>
  <c r="AD26" i="11"/>
  <c r="AC26" i="11"/>
  <c r="AB26" i="11"/>
  <c r="AA26" i="11"/>
  <c r="Z26" i="11"/>
  <c r="Y26" i="11"/>
  <c r="X26" i="11"/>
  <c r="W26" i="11"/>
  <c r="V26" i="11"/>
  <c r="U26" i="11"/>
  <c r="AD28" i="14"/>
  <c r="AA59" i="12" s="1"/>
  <c r="AC28" i="14"/>
  <c r="Z59" i="12" s="1"/>
  <c r="AB28" i="14"/>
  <c r="Y59" i="12" s="1"/>
  <c r="AA28" i="14"/>
  <c r="X59" i="12" s="1"/>
  <c r="Z28" i="14"/>
  <c r="W59" i="12" s="1"/>
  <c r="Y28" i="14"/>
  <c r="V59" i="12" s="1"/>
  <c r="X28" i="14"/>
  <c r="U59" i="12" s="1"/>
  <c r="W28" i="14"/>
  <c r="T59" i="12" s="1"/>
  <c r="V28" i="14"/>
  <c r="S59" i="12" s="1"/>
  <c r="U28" i="14"/>
  <c r="R59" i="12" s="1"/>
  <c r="J28" i="14"/>
  <c r="G59" i="12" s="1"/>
  <c r="F30" i="14"/>
  <c r="AE22" i="13"/>
  <c r="AA55" i="12" s="1"/>
  <c r="F36" i="14"/>
  <c r="F35" i="14"/>
  <c r="F34" i="14"/>
  <c r="F33" i="14"/>
  <c r="F32" i="14"/>
  <c r="F31" i="11"/>
  <c r="F30" i="11"/>
  <c r="F33" i="10"/>
  <c r="F40" i="9"/>
  <c r="F32" i="10"/>
  <c r="F31" i="10"/>
  <c r="H22" i="14"/>
  <c r="H15" i="14"/>
  <c r="H14" i="14"/>
  <c r="H13" i="14"/>
  <c r="H11" i="14"/>
  <c r="H10" i="14"/>
  <c r="H8" i="14"/>
  <c r="O10" i="10"/>
  <c r="N10" i="10"/>
  <c r="M10" i="10"/>
  <c r="L10" i="10"/>
  <c r="K10" i="10"/>
  <c r="H22" i="11"/>
  <c r="H21" i="11"/>
  <c r="H17" i="11"/>
  <c r="H14" i="11"/>
  <c r="H13" i="11"/>
  <c r="A3" i="12"/>
  <c r="A3" i="14"/>
  <c r="A3" i="13"/>
  <c r="A3" i="11"/>
  <c r="A3" i="10"/>
  <c r="H18" i="11" l="1"/>
  <c r="H18" i="10"/>
  <c r="F41" i="9"/>
  <c r="F39" i="9"/>
  <c r="F38" i="9"/>
  <c r="F36" i="9"/>
  <c r="J24" i="9" l="1"/>
  <c r="H24" i="9" s="1"/>
  <c r="J22" i="9"/>
  <c r="H22" i="9" s="1"/>
  <c r="H9" i="9"/>
  <c r="J7" i="9"/>
  <c r="H7" i="9" s="1"/>
  <c r="Y19" i="9"/>
  <c r="AA21" i="9"/>
  <c r="M21" i="9" l="1"/>
  <c r="Q21" i="9"/>
  <c r="U21" i="9"/>
  <c r="Y21" i="9"/>
  <c r="AC21" i="9"/>
  <c r="L21" i="9"/>
  <c r="P21" i="9"/>
  <c r="T21" i="9"/>
  <c r="X21" i="9"/>
  <c r="AB21" i="9"/>
  <c r="Z21" i="9"/>
  <c r="AD21" i="9"/>
  <c r="N21" i="9"/>
  <c r="R21" i="9"/>
  <c r="V21" i="9"/>
  <c r="K21" i="9"/>
  <c r="O21" i="9"/>
  <c r="S21" i="9"/>
  <c r="W21" i="9"/>
  <c r="J34" i="9"/>
  <c r="F24" i="10" l="1"/>
  <c r="C23" i="15" s="1"/>
  <c r="O27" i="9" l="1"/>
  <c r="N27" i="9"/>
  <c r="M27" i="9"/>
  <c r="L27" i="9"/>
  <c r="K27" i="9"/>
  <c r="H27" i="9" l="1"/>
  <c r="F44" i="9"/>
  <c r="AA53" i="12" l="1"/>
  <c r="Z53" i="12"/>
  <c r="AA52" i="12"/>
  <c r="Z52" i="12"/>
  <c r="AA50" i="12"/>
  <c r="Z50" i="12"/>
  <c r="AA49" i="12"/>
  <c r="Z49" i="12"/>
  <c r="AA47" i="12"/>
  <c r="AA61" i="12" s="1"/>
  <c r="Z47" i="12"/>
  <c r="Y47" i="12"/>
  <c r="X47" i="12"/>
  <c r="AA46" i="12"/>
  <c r="Z46" i="12"/>
  <c r="Y46" i="12"/>
  <c r="X46" i="12"/>
  <c r="Y37" i="12"/>
  <c r="Z38" i="12" s="1"/>
  <c r="X37" i="12"/>
  <c r="W37" i="12"/>
  <c r="V37" i="12"/>
  <c r="V38" i="12" s="1"/>
  <c r="U37" i="12"/>
  <c r="U41" i="12" s="1"/>
  <c r="T37" i="12"/>
  <c r="S37" i="12"/>
  <c r="R37" i="12"/>
  <c r="R38" i="12" s="1"/>
  <c r="Q37" i="12"/>
  <c r="P37" i="12"/>
  <c r="N18" i="12"/>
  <c r="N39" i="12" s="1"/>
  <c r="M18" i="12"/>
  <c r="L18" i="12"/>
  <c r="K18" i="12"/>
  <c r="J18" i="12"/>
  <c r="I18" i="12"/>
  <c r="H18" i="12"/>
  <c r="G18" i="12"/>
  <c r="F18" i="12"/>
  <c r="E18" i="12"/>
  <c r="D18" i="12"/>
  <c r="C18" i="12"/>
  <c r="O17" i="12"/>
  <c r="O37" i="12" s="1"/>
  <c r="N17" i="12"/>
  <c r="N37" i="12" s="1"/>
  <c r="M17" i="12"/>
  <c r="L17" i="12"/>
  <c r="K17" i="12"/>
  <c r="J17" i="12"/>
  <c r="I17" i="12"/>
  <c r="H17" i="12"/>
  <c r="G17" i="12"/>
  <c r="F17" i="12"/>
  <c r="E17" i="12"/>
  <c r="D17" i="12"/>
  <c r="C17" i="12"/>
  <c r="M13" i="12"/>
  <c r="M39" i="12" s="1"/>
  <c r="M40" i="12" s="1"/>
  <c r="L13" i="12"/>
  <c r="L39" i="12" s="1"/>
  <c r="K13" i="12"/>
  <c r="J13" i="12"/>
  <c r="I13" i="12"/>
  <c r="H13" i="12"/>
  <c r="G13" i="12"/>
  <c r="F13" i="12"/>
  <c r="E13" i="12"/>
  <c r="D13" i="12"/>
  <c r="C13" i="12"/>
  <c r="M12" i="12"/>
  <c r="L12" i="12"/>
  <c r="L37" i="12" s="1"/>
  <c r="K12" i="12"/>
  <c r="J12" i="12"/>
  <c r="I12" i="12"/>
  <c r="H12" i="12"/>
  <c r="H37" i="12" s="1"/>
  <c r="G12" i="12"/>
  <c r="F12" i="12"/>
  <c r="E12" i="12"/>
  <c r="D12" i="12"/>
  <c r="D37" i="12" s="1"/>
  <c r="C12" i="12"/>
  <c r="K10" i="12"/>
  <c r="K39" i="12" s="1"/>
  <c r="J10" i="12"/>
  <c r="J39" i="12" s="1"/>
  <c r="I10" i="12"/>
  <c r="I39" i="12" s="1"/>
  <c r="I40" i="12" s="1"/>
  <c r="H10" i="12"/>
  <c r="H39" i="12" s="1"/>
  <c r="G10" i="12"/>
  <c r="G39" i="12" s="1"/>
  <c r="F10" i="12"/>
  <c r="F39" i="12" s="1"/>
  <c r="E10" i="12"/>
  <c r="E39" i="12" s="1"/>
  <c r="D10" i="12"/>
  <c r="D39" i="12" s="1"/>
  <c r="C10" i="12"/>
  <c r="C39" i="12" s="1"/>
  <c r="J25" i="14"/>
  <c r="F25" i="14"/>
  <c r="C26" i="15" s="1"/>
  <c r="T24" i="14"/>
  <c r="T28" i="14" s="1"/>
  <c r="Q59" i="12" s="1"/>
  <c r="L24" i="14"/>
  <c r="L28" i="14" s="1"/>
  <c r="I59" i="12" s="1"/>
  <c r="O21" i="14"/>
  <c r="N21" i="14"/>
  <c r="Q20" i="14"/>
  <c r="P20" i="14"/>
  <c r="N19" i="14"/>
  <c r="M19" i="14"/>
  <c r="Z16" i="14"/>
  <c r="Y16" i="14"/>
  <c r="R16" i="14"/>
  <c r="Q16" i="14"/>
  <c r="Y18" i="14"/>
  <c r="X18" i="14"/>
  <c r="Q18" i="14"/>
  <c r="P18" i="14"/>
  <c r="W7" i="14"/>
  <c r="V7" i="14"/>
  <c r="O7" i="14"/>
  <c r="N7" i="14"/>
  <c r="R24" i="14"/>
  <c r="R28" i="14" s="1"/>
  <c r="O59" i="12" s="1"/>
  <c r="H18" i="13"/>
  <c r="H17" i="13"/>
  <c r="T16" i="13"/>
  <c r="S16" i="13"/>
  <c r="R16" i="13"/>
  <c r="Q16" i="13"/>
  <c r="P16" i="13"/>
  <c r="O16" i="13"/>
  <c r="N16" i="13"/>
  <c r="M16" i="13"/>
  <c r="L16" i="13"/>
  <c r="K16" i="13"/>
  <c r="Y15" i="13"/>
  <c r="X15" i="13"/>
  <c r="X20" i="13" s="1"/>
  <c r="W15" i="13"/>
  <c r="V15" i="13"/>
  <c r="U15" i="13"/>
  <c r="U20" i="13" s="1"/>
  <c r="T15" i="13"/>
  <c r="S15" i="13"/>
  <c r="R15" i="13"/>
  <c r="Q15" i="13"/>
  <c r="P15" i="13"/>
  <c r="O15" i="13"/>
  <c r="N15" i="13"/>
  <c r="M15" i="13"/>
  <c r="L15" i="13"/>
  <c r="K15" i="13"/>
  <c r="H14" i="13"/>
  <c r="H13" i="13"/>
  <c r="H10" i="13"/>
  <c r="H9" i="13"/>
  <c r="AD20" i="13"/>
  <c r="AD22" i="13" s="1"/>
  <c r="Z55" i="12" s="1"/>
  <c r="AC20" i="13"/>
  <c r="AC22" i="13" s="1"/>
  <c r="Y55" i="12" s="1"/>
  <c r="AB20" i="13"/>
  <c r="AB22" i="13" s="1"/>
  <c r="X55" i="12" s="1"/>
  <c r="AA20" i="13"/>
  <c r="AA22" i="13" s="1"/>
  <c r="W55" i="12" s="1"/>
  <c r="Z20" i="13"/>
  <c r="Z22" i="13" s="1"/>
  <c r="V55" i="12" s="1"/>
  <c r="Y20" i="13"/>
  <c r="M20" i="13"/>
  <c r="F34" i="11"/>
  <c r="F33" i="11"/>
  <c r="F32" i="11"/>
  <c r="F28" i="11"/>
  <c r="X53" i="12"/>
  <c r="W53" i="12"/>
  <c r="T53" i="12"/>
  <c r="S53" i="12"/>
  <c r="P53" i="12"/>
  <c r="J26" i="11"/>
  <c r="J23" i="11"/>
  <c r="F23" i="11"/>
  <c r="C24" i="15" s="1"/>
  <c r="Y53" i="12"/>
  <c r="V53" i="12"/>
  <c r="U53" i="12"/>
  <c r="R53" i="12"/>
  <c r="Q53" i="12"/>
  <c r="T20" i="11"/>
  <c r="S20" i="11"/>
  <c r="R20" i="11"/>
  <c r="Q20" i="11"/>
  <c r="P20" i="11"/>
  <c r="O20" i="11"/>
  <c r="N20" i="11"/>
  <c r="M20" i="11"/>
  <c r="L20" i="11"/>
  <c r="K20" i="11"/>
  <c r="T19" i="11"/>
  <c r="S19" i="11"/>
  <c r="R19" i="11"/>
  <c r="Q19" i="11"/>
  <c r="P19" i="11"/>
  <c r="O19" i="11"/>
  <c r="N19" i="11"/>
  <c r="M19" i="11"/>
  <c r="L19" i="11"/>
  <c r="K19" i="11"/>
  <c r="Y16" i="11"/>
  <c r="X16" i="11"/>
  <c r="W16" i="11"/>
  <c r="V16" i="11"/>
  <c r="U16" i="11"/>
  <c r="T16" i="11"/>
  <c r="S16" i="11"/>
  <c r="R16" i="11"/>
  <c r="Q16" i="11"/>
  <c r="P16" i="11"/>
  <c r="O16" i="11"/>
  <c r="N16" i="11"/>
  <c r="M16" i="11"/>
  <c r="L16" i="11"/>
  <c r="K16" i="11"/>
  <c r="AD15" i="11"/>
  <c r="AC15" i="11"/>
  <c r="AB15" i="11"/>
  <c r="AA15" i="11"/>
  <c r="Z15" i="11"/>
  <c r="Y15" i="11"/>
  <c r="X15" i="11"/>
  <c r="X23" i="11" s="1"/>
  <c r="W15" i="11"/>
  <c r="W23" i="11" s="1"/>
  <c r="V15" i="11"/>
  <c r="V23" i="11" s="1"/>
  <c r="V25" i="11" s="1"/>
  <c r="U15" i="11"/>
  <c r="U23" i="11" s="1"/>
  <c r="U25" i="11" s="1"/>
  <c r="T15" i="11"/>
  <c r="S15" i="11"/>
  <c r="R15" i="11"/>
  <c r="Q15" i="11"/>
  <c r="P15" i="11"/>
  <c r="O15" i="11"/>
  <c r="N15" i="11"/>
  <c r="M15" i="11"/>
  <c r="L15" i="11"/>
  <c r="K15" i="11"/>
  <c r="AD23" i="11"/>
  <c r="AD25" i="11" s="1"/>
  <c r="AC23" i="11"/>
  <c r="AB23" i="11"/>
  <c r="AB25" i="11" s="1"/>
  <c r="AA23" i="11"/>
  <c r="Z23" i="11"/>
  <c r="Z25" i="11" s="1"/>
  <c r="T12" i="11"/>
  <c r="S12" i="11"/>
  <c r="R12" i="11"/>
  <c r="Q12" i="11"/>
  <c r="P12" i="11"/>
  <c r="O12" i="11"/>
  <c r="N12" i="11"/>
  <c r="M12" i="11"/>
  <c r="L12" i="11"/>
  <c r="K12" i="11"/>
  <c r="H10" i="11"/>
  <c r="O9" i="11"/>
  <c r="N9" i="11"/>
  <c r="M9" i="11"/>
  <c r="L9" i="11"/>
  <c r="K9" i="11"/>
  <c r="T8" i="11"/>
  <c r="S8" i="11"/>
  <c r="R8" i="11"/>
  <c r="Q8" i="11"/>
  <c r="P8" i="11"/>
  <c r="O8" i="11"/>
  <c r="N8" i="11"/>
  <c r="M8" i="11"/>
  <c r="L8" i="11"/>
  <c r="K8" i="11"/>
  <c r="F35" i="10"/>
  <c r="F34" i="10"/>
  <c r="F29" i="10"/>
  <c r="AE27" i="10"/>
  <c r="J27" i="10"/>
  <c r="J24" i="10"/>
  <c r="O21" i="10"/>
  <c r="N21" i="10"/>
  <c r="M21" i="10"/>
  <c r="L21" i="10"/>
  <c r="K21" i="10"/>
  <c r="AD20" i="10"/>
  <c r="AD27" i="10" s="1"/>
  <c r="X50" i="12" s="1"/>
  <c r="AC20" i="10"/>
  <c r="AC27" i="10" s="1"/>
  <c r="W50" i="12" s="1"/>
  <c r="AB20" i="10"/>
  <c r="AB27" i="10" s="1"/>
  <c r="V50" i="12" s="1"/>
  <c r="AA20" i="10"/>
  <c r="AA27" i="10" s="1"/>
  <c r="Z20" i="10"/>
  <c r="Z27" i="10" s="1"/>
  <c r="T50" i="12" s="1"/>
  <c r="Y20" i="10"/>
  <c r="Y27" i="10" s="1"/>
  <c r="S50" i="12" s="1"/>
  <c r="X20" i="10"/>
  <c r="X27" i="10" s="1"/>
  <c r="R50" i="12" s="1"/>
  <c r="W20" i="10"/>
  <c r="W27" i="10" s="1"/>
  <c r="V20" i="10"/>
  <c r="V27" i="10" s="1"/>
  <c r="P50" i="12" s="1"/>
  <c r="U20" i="10"/>
  <c r="U27" i="10" s="1"/>
  <c r="O50" i="12" s="1"/>
  <c r="T20" i="10"/>
  <c r="S20" i="10"/>
  <c r="R20" i="10"/>
  <c r="R27" i="10" s="1"/>
  <c r="L50" i="12" s="1"/>
  <c r="Q20" i="10"/>
  <c r="P20" i="10"/>
  <c r="O20" i="10"/>
  <c r="N20" i="10"/>
  <c r="N27" i="10" s="1"/>
  <c r="H50" i="12" s="1"/>
  <c r="M20" i="10"/>
  <c r="L20" i="10"/>
  <c r="K20" i="10"/>
  <c r="AD19" i="10"/>
  <c r="AC19" i="10"/>
  <c r="AB19" i="10"/>
  <c r="AA19" i="10"/>
  <c r="Z19" i="10"/>
  <c r="Y19" i="10"/>
  <c r="X19" i="10"/>
  <c r="W19" i="10"/>
  <c r="V19" i="10"/>
  <c r="U19" i="10"/>
  <c r="T19" i="10"/>
  <c r="S19" i="10"/>
  <c r="R19" i="10"/>
  <c r="Q19" i="10"/>
  <c r="P19" i="10"/>
  <c r="O19" i="10"/>
  <c r="N19" i="10"/>
  <c r="M19" i="10"/>
  <c r="L19" i="10"/>
  <c r="K19" i="10"/>
  <c r="T16" i="10"/>
  <c r="S16" i="10"/>
  <c r="R16" i="10"/>
  <c r="Q16" i="10"/>
  <c r="P16" i="10"/>
  <c r="O16" i="10"/>
  <c r="N16" i="10"/>
  <c r="M16" i="10"/>
  <c r="L16" i="10"/>
  <c r="K16" i="10"/>
  <c r="Y15" i="10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T14" i="10"/>
  <c r="S14" i="10"/>
  <c r="R14" i="10"/>
  <c r="Q14" i="10"/>
  <c r="P14" i="10"/>
  <c r="O14" i="10"/>
  <c r="N14" i="10"/>
  <c r="M14" i="10"/>
  <c r="L14" i="10"/>
  <c r="K14" i="10"/>
  <c r="O11" i="10"/>
  <c r="N11" i="10"/>
  <c r="M11" i="10"/>
  <c r="L11" i="10"/>
  <c r="K11" i="10"/>
  <c r="O9" i="10"/>
  <c r="N9" i="10"/>
  <c r="M9" i="10"/>
  <c r="L9" i="10"/>
  <c r="K9" i="10"/>
  <c r="T8" i="10"/>
  <c r="S8" i="10"/>
  <c r="R8" i="10"/>
  <c r="Q8" i="10"/>
  <c r="P8" i="10"/>
  <c r="O8" i="10"/>
  <c r="N8" i="10"/>
  <c r="M8" i="10"/>
  <c r="L8" i="10"/>
  <c r="K8" i="10"/>
  <c r="C47" i="12"/>
  <c r="C61" i="12" s="1"/>
  <c r="J31" i="9"/>
  <c r="F31" i="9"/>
  <c r="C22" i="15" s="1"/>
  <c r="O20" i="9"/>
  <c r="N20" i="9"/>
  <c r="M20" i="9"/>
  <c r="L20" i="9"/>
  <c r="K20" i="9"/>
  <c r="AD34" i="9"/>
  <c r="W47" i="12" s="1"/>
  <c r="AC34" i="9"/>
  <c r="V47" i="12" s="1"/>
  <c r="AB34" i="9"/>
  <c r="U47" i="12" s="1"/>
  <c r="AA34" i="9"/>
  <c r="T47" i="12" s="1"/>
  <c r="Z34" i="9"/>
  <c r="S47" i="12" s="1"/>
  <c r="Y34" i="9"/>
  <c r="R47" i="12" s="1"/>
  <c r="X34" i="9"/>
  <c r="Q47" i="12" s="1"/>
  <c r="W34" i="9"/>
  <c r="P47" i="12" s="1"/>
  <c r="V34" i="9"/>
  <c r="O47" i="12" s="1"/>
  <c r="U34" i="9"/>
  <c r="N47" i="12" s="1"/>
  <c r="T10" i="9"/>
  <c r="S10" i="9"/>
  <c r="R10" i="9"/>
  <c r="Q10" i="9"/>
  <c r="P10" i="9"/>
  <c r="O10" i="9"/>
  <c r="N10" i="9"/>
  <c r="N34" i="9" s="1"/>
  <c r="G47" i="12" s="1"/>
  <c r="M10" i="9"/>
  <c r="L10" i="9"/>
  <c r="K10" i="9"/>
  <c r="T16" i="9"/>
  <c r="S16" i="9"/>
  <c r="R16" i="9"/>
  <c r="Q16" i="9"/>
  <c r="P16" i="9"/>
  <c r="O16" i="9"/>
  <c r="N16" i="9"/>
  <c r="M16" i="9"/>
  <c r="L16" i="9"/>
  <c r="K16" i="9"/>
  <c r="O12" i="9"/>
  <c r="N12" i="9"/>
  <c r="M12" i="9"/>
  <c r="L12" i="9"/>
  <c r="K12" i="9"/>
  <c r="AD11" i="9"/>
  <c r="AD31" i="9" s="1"/>
  <c r="AC11" i="9"/>
  <c r="AC31" i="9" s="1"/>
  <c r="AB11" i="9"/>
  <c r="AB31" i="9" s="1"/>
  <c r="AA11" i="9"/>
  <c r="AA31" i="9" s="1"/>
  <c r="Z11" i="9"/>
  <c r="Z31" i="9" s="1"/>
  <c r="Y11" i="9"/>
  <c r="Y31" i="9" s="1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O26" i="9"/>
  <c r="N26" i="9"/>
  <c r="M26" i="9"/>
  <c r="L26" i="9"/>
  <c r="K26" i="9"/>
  <c r="O13" i="9"/>
  <c r="N13" i="9"/>
  <c r="M13" i="9"/>
  <c r="L13" i="9"/>
  <c r="K13" i="9"/>
  <c r="M18" i="9"/>
  <c r="L18" i="9"/>
  <c r="K18" i="9"/>
  <c r="O23" i="9"/>
  <c r="N23" i="9"/>
  <c r="M23" i="9"/>
  <c r="L23" i="9"/>
  <c r="K23" i="9"/>
  <c r="O25" i="9"/>
  <c r="N25" i="9"/>
  <c r="M25" i="9"/>
  <c r="L25" i="9"/>
  <c r="K25" i="9"/>
  <c r="H19" i="10" l="1"/>
  <c r="E25" i="15"/>
  <c r="G25" i="15" s="1"/>
  <c r="E22" i="15"/>
  <c r="G22" i="15" s="1"/>
  <c r="E23" i="15"/>
  <c r="G23" i="15" s="1"/>
  <c r="E26" i="15"/>
  <c r="G26" i="15" s="1"/>
  <c r="C27" i="15"/>
  <c r="C28" i="15" s="1"/>
  <c r="E24" i="15"/>
  <c r="G24" i="15" s="1"/>
  <c r="Q20" i="13"/>
  <c r="Q22" i="13" s="1"/>
  <c r="M55" i="12" s="1"/>
  <c r="X31" i="9"/>
  <c r="V31" i="9"/>
  <c r="U31" i="9"/>
  <c r="U33" i="9" s="1"/>
  <c r="N46" i="12" s="1"/>
  <c r="Q31" i="9"/>
  <c r="P34" i="9"/>
  <c r="I47" i="12" s="1"/>
  <c r="P31" i="9"/>
  <c r="T34" i="9"/>
  <c r="M47" i="12" s="1"/>
  <c r="T31" i="9"/>
  <c r="T33" i="9" s="1"/>
  <c r="M46" i="12" s="1"/>
  <c r="R34" i="9"/>
  <c r="K47" i="12" s="1"/>
  <c r="R31" i="9"/>
  <c r="W31" i="9"/>
  <c r="S31" i="9"/>
  <c r="L40" i="12"/>
  <c r="E40" i="12"/>
  <c r="N40" i="12"/>
  <c r="O40" i="12"/>
  <c r="W38" i="12"/>
  <c r="X38" i="12"/>
  <c r="H40" i="12"/>
  <c r="Y41" i="12"/>
  <c r="Z42" i="12" s="1"/>
  <c r="Y38" i="12"/>
  <c r="D40" i="12"/>
  <c r="F40" i="12"/>
  <c r="J40" i="12"/>
  <c r="K40" i="12"/>
  <c r="G40" i="12"/>
  <c r="S38" i="12"/>
  <c r="P41" i="12"/>
  <c r="Q42" i="12" s="1"/>
  <c r="P38" i="12"/>
  <c r="T41" i="12"/>
  <c r="U42" i="12" s="1"/>
  <c r="U38" i="12"/>
  <c r="T38" i="12"/>
  <c r="N41" i="12"/>
  <c r="O38" i="12"/>
  <c r="Q41" i="12"/>
  <c r="Q38" i="12"/>
  <c r="K31" i="9"/>
  <c r="O31" i="9"/>
  <c r="L31" i="9"/>
  <c r="N31" i="9"/>
  <c r="N33" i="9" s="1"/>
  <c r="G46" i="12" s="1"/>
  <c r="M31" i="9"/>
  <c r="C37" i="12"/>
  <c r="D38" i="12" s="1"/>
  <c r="G37" i="12"/>
  <c r="K37" i="12"/>
  <c r="V41" i="12"/>
  <c r="V42" i="12" s="1"/>
  <c r="E37" i="12"/>
  <c r="E38" i="12" s="1"/>
  <c r="I37" i="12"/>
  <c r="I38" i="12" s="1"/>
  <c r="M37" i="12"/>
  <c r="O41" i="12"/>
  <c r="S41" i="12"/>
  <c r="W41" i="12"/>
  <c r="L41" i="12"/>
  <c r="R41" i="12"/>
  <c r="F37" i="12"/>
  <c r="F41" i="12" s="1"/>
  <c r="J37" i="12"/>
  <c r="T26" i="11"/>
  <c r="O53" i="12" s="1"/>
  <c r="L26" i="11"/>
  <c r="G53" i="12" s="1"/>
  <c r="P26" i="11"/>
  <c r="K53" i="12" s="1"/>
  <c r="H20" i="10"/>
  <c r="K26" i="11"/>
  <c r="F53" i="12" s="1"/>
  <c r="V20" i="13"/>
  <c r="V22" i="13" s="1"/>
  <c r="R55" i="12" s="1"/>
  <c r="K20" i="13"/>
  <c r="K22" i="13" s="1"/>
  <c r="G55" i="12" s="1"/>
  <c r="O20" i="13"/>
  <c r="O22" i="13" s="1"/>
  <c r="K55" i="12" s="1"/>
  <c r="S20" i="13"/>
  <c r="S22" i="13" s="1"/>
  <c r="O55" i="12" s="1"/>
  <c r="W20" i="13"/>
  <c r="W22" i="13" s="1"/>
  <c r="S55" i="12" s="1"/>
  <c r="X22" i="13"/>
  <c r="T55" i="12" s="1"/>
  <c r="N20" i="13"/>
  <c r="N22" i="13" s="1"/>
  <c r="J55" i="12" s="1"/>
  <c r="R20" i="13"/>
  <c r="R22" i="13" s="1"/>
  <c r="N55" i="12" s="1"/>
  <c r="L20" i="13"/>
  <c r="L22" i="13" s="1"/>
  <c r="H55" i="12" s="1"/>
  <c r="P20" i="13"/>
  <c r="P22" i="13" s="1"/>
  <c r="L55" i="12" s="1"/>
  <c r="T20" i="13"/>
  <c r="T22" i="13" s="1"/>
  <c r="P55" i="12" s="1"/>
  <c r="M22" i="13"/>
  <c r="I55" i="12" s="1"/>
  <c r="U22" i="13"/>
  <c r="Q55" i="12" s="1"/>
  <c r="Y22" i="13"/>
  <c r="U55" i="12" s="1"/>
  <c r="O26" i="11"/>
  <c r="J53" i="12" s="1"/>
  <c r="S26" i="11"/>
  <c r="N53" i="12" s="1"/>
  <c r="L23" i="11"/>
  <c r="P23" i="11"/>
  <c r="T23" i="11"/>
  <c r="H9" i="11"/>
  <c r="H8" i="11"/>
  <c r="Q23" i="11"/>
  <c r="H12" i="11"/>
  <c r="M26" i="11"/>
  <c r="H53" i="12" s="1"/>
  <c r="Q26" i="11"/>
  <c r="L53" i="12" s="1"/>
  <c r="H20" i="11"/>
  <c r="H11" i="11"/>
  <c r="Y23" i="11"/>
  <c r="Y25" i="11" s="1"/>
  <c r="T52" i="12" s="1"/>
  <c r="T61" i="12" s="1"/>
  <c r="T66" i="12" s="1"/>
  <c r="N26" i="11"/>
  <c r="I53" i="12" s="1"/>
  <c r="R26" i="11"/>
  <c r="M53" i="12" s="1"/>
  <c r="M24" i="14"/>
  <c r="M28" i="14" s="1"/>
  <c r="J59" i="12" s="1"/>
  <c r="R7" i="14"/>
  <c r="L18" i="14"/>
  <c r="T18" i="14"/>
  <c r="M16" i="14"/>
  <c r="U16" i="14"/>
  <c r="AC16" i="14"/>
  <c r="AC25" i="14" s="1"/>
  <c r="AC27" i="14" s="1"/>
  <c r="Z58" i="12" s="1"/>
  <c r="Z60" i="12" s="1"/>
  <c r="L20" i="14"/>
  <c r="T20" i="14"/>
  <c r="R21" i="14"/>
  <c r="P24" i="14"/>
  <c r="P28" i="14" s="1"/>
  <c r="M59" i="12" s="1"/>
  <c r="K7" i="14"/>
  <c r="S7" i="14"/>
  <c r="M18" i="14"/>
  <c r="U18" i="14"/>
  <c r="N16" i="14"/>
  <c r="V16" i="14"/>
  <c r="AD16" i="14"/>
  <c r="AD25" i="14" s="1"/>
  <c r="AD27" i="14" s="1"/>
  <c r="AA58" i="12" s="1"/>
  <c r="AA60" i="12" s="1"/>
  <c r="AA62" i="12" s="1"/>
  <c r="AA68" i="12" s="1"/>
  <c r="M20" i="14"/>
  <c r="K21" i="14"/>
  <c r="S21" i="14"/>
  <c r="Q24" i="14"/>
  <c r="Q28" i="14" s="1"/>
  <c r="N59" i="12" s="1"/>
  <c r="H8" i="13"/>
  <c r="N23" i="11"/>
  <c r="R23" i="11"/>
  <c r="AC25" i="11"/>
  <c r="X52" i="12" s="1"/>
  <c r="X61" i="12" s="1"/>
  <c r="AA25" i="11"/>
  <c r="V52" i="12" s="1"/>
  <c r="V61" i="12" s="1"/>
  <c r="V66" i="12" s="1"/>
  <c r="X25" i="11"/>
  <c r="S52" i="12" s="1"/>
  <c r="S61" i="12" s="1"/>
  <c r="S66" i="12" s="1"/>
  <c r="W25" i="11"/>
  <c r="R52" i="12" s="1"/>
  <c r="R61" i="12" s="1"/>
  <c r="R66" i="12" s="1"/>
  <c r="K23" i="11"/>
  <c r="O23" i="11"/>
  <c r="S23" i="11"/>
  <c r="AC24" i="10"/>
  <c r="AC26" i="10" s="1"/>
  <c r="W49" i="12" s="1"/>
  <c r="Z24" i="10"/>
  <c r="Z26" i="10" s="1"/>
  <c r="T49" i="12" s="1"/>
  <c r="AD24" i="10"/>
  <c r="AD26" i="10" s="1"/>
  <c r="X49" i="12" s="1"/>
  <c r="L27" i="10"/>
  <c r="F50" i="12" s="1"/>
  <c r="P27" i="10"/>
  <c r="J50" i="12" s="1"/>
  <c r="T27" i="10"/>
  <c r="N50" i="12" s="1"/>
  <c r="P24" i="10"/>
  <c r="X24" i="10"/>
  <c r="X26" i="10" s="1"/>
  <c r="R49" i="12" s="1"/>
  <c r="AA24" i="10"/>
  <c r="AA26" i="10" s="1"/>
  <c r="U49" i="12" s="1"/>
  <c r="M24" i="10"/>
  <c r="Q24" i="10"/>
  <c r="U24" i="10"/>
  <c r="U26" i="10" s="1"/>
  <c r="O49" i="12" s="1"/>
  <c r="Y24" i="10"/>
  <c r="Y26" i="10" s="1"/>
  <c r="S49" i="12" s="1"/>
  <c r="L24" i="10"/>
  <c r="T24" i="10"/>
  <c r="AB24" i="10"/>
  <c r="AB26" i="10" s="1"/>
  <c r="V49" i="12" s="1"/>
  <c r="N24" i="10"/>
  <c r="N26" i="10" s="1"/>
  <c r="H49" i="12" s="1"/>
  <c r="R24" i="10"/>
  <c r="R26" i="10" s="1"/>
  <c r="L49" i="12" s="1"/>
  <c r="V24" i="10"/>
  <c r="V26" i="10" s="1"/>
  <c r="P49" i="12" s="1"/>
  <c r="K24" i="10"/>
  <c r="O24" i="10"/>
  <c r="S24" i="10"/>
  <c r="W24" i="10"/>
  <c r="W26" i="10" s="1"/>
  <c r="Q49" i="12" s="1"/>
  <c r="Y50" i="12"/>
  <c r="AE26" i="10"/>
  <c r="Y49" i="12" s="1"/>
  <c r="W52" i="12"/>
  <c r="U52" i="12"/>
  <c r="P52" i="12"/>
  <c r="H16" i="13"/>
  <c r="L7" i="14"/>
  <c r="P7" i="14"/>
  <c r="T7" i="14"/>
  <c r="X7" i="14"/>
  <c r="Z25" i="14"/>
  <c r="Z27" i="14" s="1"/>
  <c r="W58" i="12" s="1"/>
  <c r="N18" i="14"/>
  <c r="R18" i="14"/>
  <c r="V18" i="14"/>
  <c r="K16" i="14"/>
  <c r="O16" i="14"/>
  <c r="S16" i="14"/>
  <c r="W16" i="14"/>
  <c r="AA16" i="14"/>
  <c r="AA25" i="14" s="1"/>
  <c r="AA27" i="14" s="1"/>
  <c r="X58" i="12" s="1"/>
  <c r="K19" i="14"/>
  <c r="O19" i="14"/>
  <c r="N20" i="14"/>
  <c r="R20" i="14"/>
  <c r="L21" i="14"/>
  <c r="P21" i="14"/>
  <c r="T21" i="14"/>
  <c r="N24" i="14"/>
  <c r="N28" i="14" s="1"/>
  <c r="K59" i="12" s="1"/>
  <c r="Q17" i="14"/>
  <c r="M17" i="14"/>
  <c r="O17" i="14"/>
  <c r="R17" i="14"/>
  <c r="T17" i="14"/>
  <c r="P17" i="14"/>
  <c r="L17" i="14"/>
  <c r="S17" i="14"/>
  <c r="K17" i="14"/>
  <c r="N17" i="14"/>
  <c r="M7" i="14"/>
  <c r="Q7" i="14"/>
  <c r="U7" i="14"/>
  <c r="Y7" i="14"/>
  <c r="Y25" i="14" s="1"/>
  <c r="Y27" i="14" s="1"/>
  <c r="V58" i="12" s="1"/>
  <c r="K18" i="14"/>
  <c r="O18" i="14"/>
  <c r="S18" i="14"/>
  <c r="W18" i="14"/>
  <c r="L16" i="14"/>
  <c r="P16" i="14"/>
  <c r="T16" i="14"/>
  <c r="X16" i="14"/>
  <c r="AB16" i="14"/>
  <c r="AB25" i="14" s="1"/>
  <c r="AB27" i="14" s="1"/>
  <c r="Y58" i="12" s="1"/>
  <c r="L19" i="14"/>
  <c r="K20" i="14"/>
  <c r="O20" i="14"/>
  <c r="S20" i="14"/>
  <c r="M21" i="14"/>
  <c r="Q21" i="14"/>
  <c r="K24" i="14"/>
  <c r="K28" i="14" s="1"/>
  <c r="H59" i="12" s="1"/>
  <c r="O24" i="14"/>
  <c r="O28" i="14" s="1"/>
  <c r="L59" i="12" s="1"/>
  <c r="S24" i="14"/>
  <c r="S28" i="14" s="1"/>
  <c r="P59" i="12" s="1"/>
  <c r="H15" i="13"/>
  <c r="Q52" i="12"/>
  <c r="Y52" i="12"/>
  <c r="H19" i="11"/>
  <c r="M23" i="11"/>
  <c r="H15" i="11"/>
  <c r="H16" i="11"/>
  <c r="H21" i="10"/>
  <c r="H22" i="10"/>
  <c r="M27" i="10"/>
  <c r="G50" i="12" s="1"/>
  <c r="Q27" i="10"/>
  <c r="K50" i="12" s="1"/>
  <c r="O27" i="10"/>
  <c r="I50" i="12" s="1"/>
  <c r="S27" i="10"/>
  <c r="M50" i="12" s="1"/>
  <c r="H14" i="10"/>
  <c r="H9" i="10"/>
  <c r="H11" i="10"/>
  <c r="H8" i="10"/>
  <c r="H15" i="10"/>
  <c r="K27" i="10"/>
  <c r="E50" i="12" s="1"/>
  <c r="H16" i="10"/>
  <c r="J26" i="10"/>
  <c r="D49" i="12" s="1"/>
  <c r="J25" i="11"/>
  <c r="E52" i="12" s="1"/>
  <c r="H12" i="9"/>
  <c r="H19" i="9"/>
  <c r="H16" i="9"/>
  <c r="H11" i="9"/>
  <c r="K34" i="9"/>
  <c r="D47" i="12" s="1"/>
  <c r="H10" i="9"/>
  <c r="Q50" i="12"/>
  <c r="U50" i="12"/>
  <c r="D50" i="12"/>
  <c r="Z61" i="12"/>
  <c r="Z66" i="12" s="1"/>
  <c r="H21" i="9"/>
  <c r="Z33" i="9"/>
  <c r="S46" i="12" s="1"/>
  <c r="V33" i="9"/>
  <c r="O46" i="12" s="1"/>
  <c r="X33" i="9"/>
  <c r="Q46" i="12" s="1"/>
  <c r="Y33" i="9"/>
  <c r="R46" i="12" s="1"/>
  <c r="AC33" i="9"/>
  <c r="V46" i="12" s="1"/>
  <c r="M34" i="9"/>
  <c r="F47" i="12" s="1"/>
  <c r="Q34" i="9"/>
  <c r="J47" i="12" s="1"/>
  <c r="AD33" i="9"/>
  <c r="W46" i="12" s="1"/>
  <c r="E53" i="12"/>
  <c r="AB33" i="9"/>
  <c r="U46" i="12" s="1"/>
  <c r="H8" i="9"/>
  <c r="H18" i="9"/>
  <c r="H20" i="9"/>
  <c r="J22" i="13"/>
  <c r="L34" i="9"/>
  <c r="E47" i="12" s="1"/>
  <c r="AA33" i="9"/>
  <c r="T46" i="12" s="1"/>
  <c r="H23" i="9"/>
  <c r="H26" i="9"/>
  <c r="W33" i="9"/>
  <c r="P46" i="12" s="1"/>
  <c r="H13" i="9"/>
  <c r="J27" i="14"/>
  <c r="W61" i="12"/>
  <c r="W66" i="12" s="1"/>
  <c r="H25" i="9"/>
  <c r="O34" i="9"/>
  <c r="H47" i="12" s="1"/>
  <c r="S34" i="9"/>
  <c r="L47" i="12" s="1"/>
  <c r="D41" i="12"/>
  <c r="H41" i="12"/>
  <c r="AA66" i="12"/>
  <c r="X41" i="12"/>
  <c r="C66" i="12"/>
  <c r="J33" i="9"/>
  <c r="T25" i="11" l="1"/>
  <c r="O52" i="12" s="1"/>
  <c r="O61" i="12" s="1"/>
  <c r="O66" i="12" s="1"/>
  <c r="R33" i="9"/>
  <c r="K46" i="12" s="1"/>
  <c r="F37" i="14"/>
  <c r="F39" i="14" s="1"/>
  <c r="G58" i="12"/>
  <c r="F32" i="13"/>
  <c r="F34" i="13" s="1"/>
  <c r="F55" i="12"/>
  <c r="L25" i="11"/>
  <c r="G52" i="12" s="1"/>
  <c r="P33" i="9"/>
  <c r="I46" i="12" s="1"/>
  <c r="K25" i="11"/>
  <c r="F52" i="12" s="1"/>
  <c r="F61" i="12" s="1"/>
  <c r="F66" i="12" s="1"/>
  <c r="P61" i="12"/>
  <c r="P66" i="12" s="1"/>
  <c r="P67" i="12" s="1"/>
  <c r="P25" i="11"/>
  <c r="K52" i="12" s="1"/>
  <c r="F38" i="12"/>
  <c r="E41" i="12"/>
  <c r="R42" i="12"/>
  <c r="T67" i="12"/>
  <c r="T42" i="12"/>
  <c r="O42" i="12"/>
  <c r="M41" i="12"/>
  <c r="N42" i="12" s="1"/>
  <c r="M38" i="12"/>
  <c r="J41" i="12"/>
  <c r="J38" i="12"/>
  <c r="G41" i="12"/>
  <c r="H42" i="12" s="1"/>
  <c r="G38" i="12"/>
  <c r="C41" i="12"/>
  <c r="K41" i="12"/>
  <c r="L42" i="12" s="1"/>
  <c r="K38" i="12"/>
  <c r="N38" i="12"/>
  <c r="I41" i="12"/>
  <c r="I42" i="12" s="1"/>
  <c r="L38" i="12"/>
  <c r="H38" i="12"/>
  <c r="AA67" i="12"/>
  <c r="S67" i="12"/>
  <c r="W67" i="12"/>
  <c r="H31" i="9"/>
  <c r="X42" i="12"/>
  <c r="F42" i="12"/>
  <c r="Y42" i="12"/>
  <c r="Y61" i="12"/>
  <c r="Y66" i="12" s="1"/>
  <c r="W42" i="12"/>
  <c r="E42" i="12"/>
  <c r="S42" i="12"/>
  <c r="P42" i="12"/>
  <c r="W25" i="14"/>
  <c r="W27" i="14" s="1"/>
  <c r="T58" i="12" s="1"/>
  <c r="T60" i="12" s="1"/>
  <c r="T64" i="12" s="1"/>
  <c r="U61" i="12"/>
  <c r="U66" i="12" s="1"/>
  <c r="U67" i="12" s="1"/>
  <c r="R25" i="11"/>
  <c r="M52" i="12" s="1"/>
  <c r="M61" i="12" s="1"/>
  <c r="M66" i="12" s="1"/>
  <c r="Q25" i="11"/>
  <c r="L52" i="12" s="1"/>
  <c r="L61" i="12" s="1"/>
  <c r="L66" i="12" s="1"/>
  <c r="N25" i="11"/>
  <c r="I52" i="12" s="1"/>
  <c r="I61" i="12" s="1"/>
  <c r="I66" i="12" s="1"/>
  <c r="H20" i="14"/>
  <c r="H20" i="13"/>
  <c r="Y60" i="12"/>
  <c r="Y64" i="12" s="1"/>
  <c r="Q61" i="12"/>
  <c r="Q66" i="12" s="1"/>
  <c r="X25" i="14"/>
  <c r="X27" i="14" s="1"/>
  <c r="U58" i="12" s="1"/>
  <c r="U60" i="12" s="1"/>
  <c r="U64" i="12" s="1"/>
  <c r="O25" i="11"/>
  <c r="J52" i="12" s="1"/>
  <c r="J61" i="12" s="1"/>
  <c r="J66" i="12" s="1"/>
  <c r="K61" i="12"/>
  <c r="K66" i="12" s="1"/>
  <c r="H23" i="11"/>
  <c r="M25" i="11"/>
  <c r="H52" i="12" s="1"/>
  <c r="H61" i="12" s="1"/>
  <c r="H66" i="12" s="1"/>
  <c r="S25" i="11"/>
  <c r="N52" i="12" s="1"/>
  <c r="N61" i="12" s="1"/>
  <c r="N66" i="12" s="1"/>
  <c r="L26" i="10"/>
  <c r="F49" i="12" s="1"/>
  <c r="T26" i="10"/>
  <c r="N49" i="12" s="1"/>
  <c r="P26" i="10"/>
  <c r="J49" i="12" s="1"/>
  <c r="S26" i="10"/>
  <c r="M49" i="12" s="1"/>
  <c r="H24" i="10"/>
  <c r="O26" i="10"/>
  <c r="I49" i="12" s="1"/>
  <c r="K26" i="10"/>
  <c r="E49" i="12" s="1"/>
  <c r="Q26" i="10"/>
  <c r="K49" i="12" s="1"/>
  <c r="M26" i="10"/>
  <c r="G49" i="12" s="1"/>
  <c r="G61" i="12"/>
  <c r="G66" i="12" s="1"/>
  <c r="V60" i="12"/>
  <c r="V62" i="12" s="1"/>
  <c r="V68" i="12" s="1"/>
  <c r="H17" i="14"/>
  <c r="V25" i="14"/>
  <c r="V27" i="14" s="1"/>
  <c r="S58" i="12" s="1"/>
  <c r="S60" i="12" s="1"/>
  <c r="S62" i="12" s="1"/>
  <c r="S68" i="12" s="1"/>
  <c r="M25" i="14"/>
  <c r="M27" i="14" s="1"/>
  <c r="J58" i="12" s="1"/>
  <c r="H18" i="14"/>
  <c r="H12" i="14"/>
  <c r="H7" i="14"/>
  <c r="U25" i="14"/>
  <c r="U27" i="14" s="1"/>
  <c r="R58" i="12" s="1"/>
  <c r="R60" i="12" s="1"/>
  <c r="R64" i="12" s="1"/>
  <c r="O25" i="14"/>
  <c r="O27" i="14" s="1"/>
  <c r="L58" i="12" s="1"/>
  <c r="Q25" i="14"/>
  <c r="Q27" i="14" s="1"/>
  <c r="N58" i="12" s="1"/>
  <c r="L25" i="14"/>
  <c r="L27" i="14" s="1"/>
  <c r="I58" i="12" s="1"/>
  <c r="H19" i="14"/>
  <c r="T25" i="14"/>
  <c r="T27" i="14" s="1"/>
  <c r="Q58" i="12" s="1"/>
  <c r="Q60" i="12" s="1"/>
  <c r="Q64" i="12" s="1"/>
  <c r="R25" i="14"/>
  <c r="R27" i="14" s="1"/>
  <c r="O58" i="12" s="1"/>
  <c r="O60" i="12" s="1"/>
  <c r="O62" i="12" s="1"/>
  <c r="O68" i="12" s="1"/>
  <c r="S25" i="14"/>
  <c r="S27" i="14" s="1"/>
  <c r="P58" i="12" s="1"/>
  <c r="P60" i="12" s="1"/>
  <c r="H24" i="14"/>
  <c r="K25" i="14"/>
  <c r="K27" i="14" s="1"/>
  <c r="H58" i="12" s="1"/>
  <c r="H16" i="14"/>
  <c r="N25" i="14"/>
  <c r="N27" i="14" s="1"/>
  <c r="K58" i="12" s="1"/>
  <c r="P25" i="14"/>
  <c r="P27" i="14" s="1"/>
  <c r="M58" i="12" s="1"/>
  <c r="H21" i="14"/>
  <c r="X60" i="12"/>
  <c r="X62" i="12" s="1"/>
  <c r="X68" i="12" s="1"/>
  <c r="D61" i="12"/>
  <c r="D66" i="12" s="1"/>
  <c r="D67" i="12" s="1"/>
  <c r="F36" i="10"/>
  <c r="F38" i="10" s="1"/>
  <c r="F35" i="11"/>
  <c r="F37" i="11" s="1"/>
  <c r="K33" i="9"/>
  <c r="D46" i="12" s="1"/>
  <c r="D60" i="12" s="1"/>
  <c r="Z62" i="12"/>
  <c r="Z68" i="12" s="1"/>
  <c r="M33" i="9"/>
  <c r="F46" i="12" s="1"/>
  <c r="Q33" i="9"/>
  <c r="J46" i="12" s="1"/>
  <c r="W60" i="12"/>
  <c r="W62" i="12" s="1"/>
  <c r="W68" i="12" s="1"/>
  <c r="E61" i="12"/>
  <c r="E66" i="12" s="1"/>
  <c r="L33" i="9"/>
  <c r="E46" i="12" s="1"/>
  <c r="S33" i="9"/>
  <c r="L46" i="12" s="1"/>
  <c r="O33" i="9"/>
  <c r="H46" i="12" s="1"/>
  <c r="AA64" i="12"/>
  <c r="Z64" i="12"/>
  <c r="X66" i="12"/>
  <c r="X67" i="12" s="1"/>
  <c r="C46" i="12"/>
  <c r="C60" i="12" s="1"/>
  <c r="C62" i="12" s="1"/>
  <c r="F45" i="9"/>
  <c r="F47" i="9" s="1"/>
  <c r="G60" i="12" l="1"/>
  <c r="G64" i="12" s="1"/>
  <c r="P62" i="12"/>
  <c r="P68" i="12" s="1"/>
  <c r="P69" i="12" s="1"/>
  <c r="Q67" i="12"/>
  <c r="K60" i="12"/>
  <c r="K64" i="12" s="1"/>
  <c r="N67" i="12"/>
  <c r="M42" i="12"/>
  <c r="G42" i="12"/>
  <c r="D42" i="12"/>
  <c r="W69" i="12"/>
  <c r="Y62" i="12"/>
  <c r="Y68" i="12" s="1"/>
  <c r="Z69" i="12" s="1"/>
  <c r="K42" i="12"/>
  <c r="R65" i="12"/>
  <c r="J42" i="12"/>
  <c r="Z65" i="12"/>
  <c r="M67" i="12"/>
  <c r="Y67" i="12"/>
  <c r="R67" i="12"/>
  <c r="AA65" i="12"/>
  <c r="F67" i="12"/>
  <c r="U65" i="12"/>
  <c r="Z67" i="12"/>
  <c r="I67" i="12"/>
  <c r="E67" i="12"/>
  <c r="K67" i="12"/>
  <c r="L67" i="12"/>
  <c r="V67" i="12"/>
  <c r="J67" i="12"/>
  <c r="O67" i="12"/>
  <c r="G67" i="12"/>
  <c r="H67" i="12"/>
  <c r="X69" i="12"/>
  <c r="AA69" i="12"/>
  <c r="L60" i="12"/>
  <c r="L62" i="12" s="1"/>
  <c r="L68" i="12" s="1"/>
  <c r="M60" i="12"/>
  <c r="M64" i="12" s="1"/>
  <c r="I60" i="12"/>
  <c r="I62" i="12" s="1"/>
  <c r="I68" i="12" s="1"/>
  <c r="H25" i="14"/>
  <c r="N60" i="12"/>
  <c r="N64" i="12" s="1"/>
  <c r="U62" i="12"/>
  <c r="U68" i="12" s="1"/>
  <c r="H60" i="12"/>
  <c r="H62" i="12" s="1"/>
  <c r="H68" i="12" s="1"/>
  <c r="J60" i="12"/>
  <c r="J62" i="12" s="1"/>
  <c r="J68" i="12" s="1"/>
  <c r="E60" i="12"/>
  <c r="E62" i="12" s="1"/>
  <c r="E68" i="12" s="1"/>
  <c r="V64" i="12"/>
  <c r="V65" i="12" s="1"/>
  <c r="S64" i="12"/>
  <c r="S65" i="12" s="1"/>
  <c r="X64" i="12"/>
  <c r="Y65" i="12" s="1"/>
  <c r="F60" i="12"/>
  <c r="F64" i="12" s="1"/>
  <c r="Q62" i="12"/>
  <c r="Q68" i="12" s="1"/>
  <c r="Q69" i="12" s="1"/>
  <c r="O64" i="12"/>
  <c r="T62" i="12"/>
  <c r="T68" i="12" s="1"/>
  <c r="T69" i="12" s="1"/>
  <c r="D62" i="12"/>
  <c r="D68" i="12" s="1"/>
  <c r="R62" i="12"/>
  <c r="R68" i="12" s="1"/>
  <c r="S69" i="12" s="1"/>
  <c r="D64" i="12"/>
  <c r="G62" i="12"/>
  <c r="G68" i="12" s="1"/>
  <c r="W64" i="12"/>
  <c r="P64" i="12"/>
  <c r="C64" i="12"/>
  <c r="C68" i="12"/>
  <c r="P65" i="12" l="1"/>
  <c r="K62" i="12"/>
  <c r="K68" i="12" s="1"/>
  <c r="K69" i="12" s="1"/>
  <c r="Y69" i="12"/>
  <c r="N65" i="12"/>
  <c r="D69" i="12"/>
  <c r="T65" i="12"/>
  <c r="L64" i="12"/>
  <c r="L65" i="12" s="1"/>
  <c r="D65" i="12"/>
  <c r="O65" i="12"/>
  <c r="W65" i="12"/>
  <c r="X65" i="12"/>
  <c r="Q65" i="12"/>
  <c r="G65" i="12"/>
  <c r="H69" i="12"/>
  <c r="U69" i="12"/>
  <c r="I69" i="12"/>
  <c r="E69" i="12"/>
  <c r="R69" i="12"/>
  <c r="M62" i="12"/>
  <c r="M68" i="12" s="1"/>
  <c r="M69" i="12" s="1"/>
  <c r="J69" i="12"/>
  <c r="V69" i="12"/>
  <c r="I64" i="12"/>
  <c r="N62" i="12"/>
  <c r="N68" i="12" s="1"/>
  <c r="H64" i="12"/>
  <c r="H65" i="12" s="1"/>
  <c r="J64" i="12"/>
  <c r="E64" i="12"/>
  <c r="E65" i="12" s="1"/>
  <c r="F62" i="12"/>
  <c r="F68" i="12" s="1"/>
  <c r="F69" i="12" s="1"/>
  <c r="L69" i="12" l="1"/>
  <c r="I65" i="12"/>
  <c r="M65" i="12"/>
  <c r="J65" i="12"/>
  <c r="K65" i="12"/>
  <c r="F65" i="12"/>
  <c r="N69" i="12"/>
  <c r="O69" i="12"/>
  <c r="G69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tc={FD6D429B-199B-4423-9288-968247B58A3E}</author>
  </authors>
  <commentList>
    <comment ref="A11" authorId="0" shapeId="0" xr:uid="{FD6D429B-199B-4423-9288-968247B58A3E}">
      <text>
        <t>[Threaded comment]
Your version of Excel allows you to read this threaded comment; however, any edits to it will get removed if the file is opened in a newer version of Excel. Learn more: https://go.microsoft.com/fwlink/?linkid=870924
Comment:
    Grant House, Goodrich Park Barn, Senior Center, Bog Road Maint Facility, Gift Shop, Summit Lodge</t>
      </text>
    </comment>
  </commentList>
</comments>
</file>

<file path=xl/sharedStrings.xml><?xml version="1.0" encoding="utf-8"?>
<sst xmlns="http://schemas.openxmlformats.org/spreadsheetml/2006/main" count="791" uniqueCount="212">
  <si>
    <t>Finance Method</t>
  </si>
  <si>
    <t>FY21</t>
  </si>
  <si>
    <t>FY22</t>
  </si>
  <si>
    <t>FY23</t>
  </si>
  <si>
    <t>bond</t>
  </si>
  <si>
    <t>Years Financed</t>
  </si>
  <si>
    <t>Cost</t>
  </si>
  <si>
    <t>Pave Sohier Park Parking Lot</t>
  </si>
  <si>
    <t>Parks &amp; Rec</t>
  </si>
  <si>
    <t>Police</t>
  </si>
  <si>
    <t>Public Works</t>
  </si>
  <si>
    <t>Town Hall Expansion/Annex - Construction</t>
  </si>
  <si>
    <t>Item</t>
  </si>
  <si>
    <t>Cascade System (re-fills air tanks)</t>
  </si>
  <si>
    <t>YMS Roof</t>
  </si>
  <si>
    <t>Relative Priority</t>
  </si>
  <si>
    <t>Patrol Plow Truck 10</t>
  </si>
  <si>
    <t>Bell Marsh Road Improvements (to remain unpaved)</t>
  </si>
  <si>
    <t>Department</t>
  </si>
  <si>
    <t>Category</t>
  </si>
  <si>
    <t>Properties</t>
  </si>
  <si>
    <t>Equipment</t>
  </si>
  <si>
    <t>Sohier Park Ent. Fund</t>
  </si>
  <si>
    <t>School</t>
  </si>
  <si>
    <t>Vehicles</t>
  </si>
  <si>
    <t>Police Vehicles</t>
  </si>
  <si>
    <t>Roads, Bridges &amp; Util.</t>
  </si>
  <si>
    <t>-</t>
  </si>
  <si>
    <t>Approximate Annual Costs to General Fund</t>
  </si>
  <si>
    <t>FY</t>
  </si>
  <si>
    <t>Maintain Boat Ramp, Boathouse and Stairs at Nubble Lighthouse</t>
  </si>
  <si>
    <t>VES Sprinkler System Improvements</t>
  </si>
  <si>
    <t>YHS Fire System/Separation Upgrades</t>
  </si>
  <si>
    <t>FY24</t>
  </si>
  <si>
    <t>FY25</t>
  </si>
  <si>
    <t>FY26</t>
  </si>
  <si>
    <t>FY27</t>
  </si>
  <si>
    <t>FY28</t>
  </si>
  <si>
    <t>FY29</t>
  </si>
  <si>
    <t>FY30</t>
  </si>
  <si>
    <t>FY31</t>
  </si>
  <si>
    <t>FY32</t>
  </si>
  <si>
    <t>FY33</t>
  </si>
  <si>
    <t>FY34</t>
  </si>
  <si>
    <t>FY35</t>
  </si>
  <si>
    <t>FY36</t>
  </si>
  <si>
    <t>FY37</t>
  </si>
  <si>
    <t>FY38</t>
  </si>
  <si>
    <t>FY39</t>
  </si>
  <si>
    <t>FY40</t>
  </si>
  <si>
    <t>FY41</t>
  </si>
  <si>
    <t>FY42</t>
  </si>
  <si>
    <t>2008 Issue - School &amp; Town</t>
  </si>
  <si>
    <t>2010 Issue - School &amp; Town</t>
  </si>
  <si>
    <t>2011 Issue - Town</t>
  </si>
  <si>
    <t>2012 Issue - School &amp; Town</t>
  </si>
  <si>
    <t>2013 Issue - School &amp; Town</t>
  </si>
  <si>
    <t>2015 Issue - School &amp; Town</t>
  </si>
  <si>
    <t>2016 Issue - School &amp; Town</t>
  </si>
  <si>
    <t>FY43</t>
  </si>
  <si>
    <t>Town-Wide Road and Sidewalk:  Construction &amp; Overlay Paving</t>
  </si>
  <si>
    <t>Voc Ed Vehicle Replacement</t>
  </si>
  <si>
    <t>Patrol Plow Truck 11</t>
  </si>
  <si>
    <t>Patrol Plow Truck 12</t>
  </si>
  <si>
    <t>Amount to be paid from Town General Fund</t>
  </si>
  <si>
    <t>Amount to be paid from School General Fund</t>
  </si>
  <si>
    <t>Amount to be funded by Harbor Fund</t>
  </si>
  <si>
    <t>Amount to be funded by Sohier Park Enterprise Fund</t>
  </si>
  <si>
    <t>Harbor funds</t>
  </si>
  <si>
    <t>Town Portion:</t>
  </si>
  <si>
    <t>School Portion:</t>
  </si>
  <si>
    <t>Approximate Financing Costs</t>
  </si>
  <si>
    <t>math check - should equal zero</t>
  </si>
  <si>
    <t>FY23 Capital Program</t>
  </si>
  <si>
    <t>FY22 Capital Program</t>
  </si>
  <si>
    <t>FY21 Capital Program</t>
  </si>
  <si>
    <t>Annual Payments for Capital</t>
  </si>
  <si>
    <t>Town Portion</t>
  </si>
  <si>
    <t>School Portion</t>
  </si>
  <si>
    <t>2017 Issue - School &amp; Town</t>
  </si>
  <si>
    <t>Subtotal - Town</t>
  </si>
  <si>
    <t>Subtotal - School</t>
  </si>
  <si>
    <t>Total Existing Payments</t>
  </si>
  <si>
    <t>Existing Bonds</t>
  </si>
  <si>
    <t>Newly Proposed Debt Payments</t>
  </si>
  <si>
    <t>Total Proposed New Payments</t>
  </si>
  <si>
    <t>Total Annual Dept Payments - Town</t>
  </si>
  <si>
    <t>Total Annual Dept Payments - School</t>
  </si>
  <si>
    <t>Total Annual Debt Payments</t>
  </si>
  <si>
    <t>TOTALS</t>
  </si>
  <si>
    <t>FY24 Capital Program</t>
  </si>
  <si>
    <t>FY44</t>
  </si>
  <si>
    <t>Total FY21 Capital Spending</t>
  </si>
  <si>
    <t>Total FY22 Capital Spending</t>
  </si>
  <si>
    <t>Total FY23 Capital Spending</t>
  </si>
  <si>
    <t>Total FY24 Capital Spending</t>
  </si>
  <si>
    <t>IT</t>
  </si>
  <si>
    <t>F-250 Pick-Up Truck Replacement (grounds maintenance)</t>
  </si>
  <si>
    <t>Senior Center Car (replacement) - all-electric with charging facility</t>
  </si>
  <si>
    <t>Watchguard Cameras (5)</t>
  </si>
  <si>
    <t>replace vehicle radar units</t>
  </si>
  <si>
    <t>Kingsbury Road Reconstruction</t>
  </si>
  <si>
    <t>F-550 Pick-up Truck equipped for plowing</t>
  </si>
  <si>
    <t>Patrol Plow Truck 13</t>
  </si>
  <si>
    <t>Vehicle Replacement</t>
  </si>
  <si>
    <t>FY45</t>
  </si>
  <si>
    <t>Capital IT</t>
  </si>
  <si>
    <t>Cliff Walk Repairs</t>
  </si>
  <si>
    <t>Heating &amp; Cooling Conversion of all P&amp;R Facilities</t>
  </si>
  <si>
    <t>On-going Exterior Maintenance of Nubble Lighthouse, Tower, Outbuildings</t>
  </si>
  <si>
    <t>Taser replacements</t>
  </si>
  <si>
    <t>Police Station Building Maintenance</t>
  </si>
  <si>
    <t>Police Vehicle</t>
  </si>
  <si>
    <t>Salt Shed for 810 US Route One</t>
  </si>
  <si>
    <t>Hutchins Lane - Cape Neddick River Bridge - repairs</t>
  </si>
  <si>
    <t>Backhoe (year?) Replacement</t>
  </si>
  <si>
    <t>Patrol Plow Truck 14</t>
  </si>
  <si>
    <t>Beach Fire</t>
  </si>
  <si>
    <t>Total FY25 Capital Spending</t>
  </si>
  <si>
    <t>Inspection Vehicle, all electric with charging facility</t>
  </si>
  <si>
    <t>Ford Ranger Pick-up Truck Replacement (parks foreman)</t>
  </si>
  <si>
    <t>Sohier Park all-electric vehicle with charging facility</t>
  </si>
  <si>
    <t>Nubble Light Restoration, Phase IV</t>
  </si>
  <si>
    <t>Traffic Safety Signs and Equipment</t>
  </si>
  <si>
    <t>Update Portable Radios</t>
  </si>
  <si>
    <t>Fusion electric vehicle with charging facility (replace SRO van)</t>
  </si>
  <si>
    <t>Fuelling Station Canopy for 810 US Route One</t>
  </si>
  <si>
    <t>Woodbridge Road Sidewalk - finish the missing gap</t>
  </si>
  <si>
    <t>Chases Pond Road - Cape Neddick River Bridge - design/scoping</t>
  </si>
  <si>
    <t>YHS Shingle Roof</t>
  </si>
  <si>
    <t>Voc. Ed. Vehicle replacement</t>
  </si>
  <si>
    <t>HVAC Overhaul for Training Room in Village Fire Station</t>
  </si>
  <si>
    <t>Code Dept.</t>
  </si>
  <si>
    <t>Village Fire</t>
  </si>
  <si>
    <t>York Beach Fire Station - MS4 Retrofits</t>
  </si>
  <si>
    <t>Dispatch Console</t>
  </si>
  <si>
    <t>911/Radio Recording System and Server</t>
  </si>
  <si>
    <t>Harbor Master's Large Boat - replacement trade/sell existing boat</t>
  </si>
  <si>
    <t>Nubble Drainage (Airport Drive)</t>
  </si>
  <si>
    <t>Backhoe (1997) Replacement</t>
  </si>
  <si>
    <t>Hutchins Lane - Cape Neddick River Bridge - design</t>
  </si>
  <si>
    <t>YHS Upgrade/Remodel Kitchen</t>
  </si>
  <si>
    <t>YHS Vehicle Replacement</t>
  </si>
  <si>
    <t>TM Dept.</t>
  </si>
  <si>
    <t>Inspection Vehicle replacement, all electric</t>
  </si>
  <si>
    <t>Bog Road Fields - septic system and other improvements</t>
  </si>
  <si>
    <t>Chases Pond Road - Cape Neddick River Bridge - construction</t>
  </si>
  <si>
    <t>25-Ton Trailer replacement</t>
  </si>
  <si>
    <t>CRES Paving</t>
  </si>
  <si>
    <t>YHS Upgrade/Remodel Home Ec Classroom/Kitchen</t>
  </si>
  <si>
    <t>York Village Fire Department - Brush Fire Vehicle Replacement</t>
  </si>
  <si>
    <t>Code Fees</t>
  </si>
  <si>
    <t>Amount to be funded by Code Fees</t>
  </si>
  <si>
    <t>equipment</t>
  </si>
  <si>
    <t>vehicles</t>
  </si>
  <si>
    <t>Ladder 1 replacement (repl. 1989)</t>
  </si>
  <si>
    <t>YMS Painting</t>
  </si>
  <si>
    <t>Dishwasher</t>
  </si>
  <si>
    <t>Assumed Interest Rates</t>
  </si>
  <si>
    <t>Taxable Bond</t>
  </si>
  <si>
    <t>Tax Exempt Bond</t>
  </si>
  <si>
    <t>Long Beach Sea Wall &amp; Stairs  Improvements</t>
  </si>
  <si>
    <t>MT A. Improvements (financed with taxable bond)</t>
  </si>
  <si>
    <t>general fund - Town</t>
  </si>
  <si>
    <t>general fund - School</t>
  </si>
  <si>
    <t>FY25 Capital Program</t>
  </si>
  <si>
    <t>BOS request:  bike lanes on rural roads (w/input from Bike/Ped Comm.)</t>
  </si>
  <si>
    <t>BOS request:  YB to Mt A trail crossing of the Turnpike</t>
  </si>
  <si>
    <t>Mount A Welcome Center (financed with taxable bond)</t>
  </si>
  <si>
    <t>Public Viewing Tower on Mount A (financed with taxable bond)</t>
  </si>
  <si>
    <t>Pick-Up Truck Replacement (used vehicle for cemetery maintenance)</t>
  </si>
  <si>
    <t>2009 F-350 Pick-up Truck replacement, equipped for plowing (Diesel)</t>
  </si>
  <si>
    <t>Rennovate Center for Active Living (financed with Taxable Bond)</t>
  </si>
  <si>
    <t>bond - taxable</t>
  </si>
  <si>
    <t>Amount to be funded with taxable bond</t>
  </si>
  <si>
    <t>Amount to be funded with tax-exempt bond</t>
  </si>
  <si>
    <t>$ incresas/decrease</t>
  </si>
  <si>
    <t>2018 Issue - School &amp; Town</t>
  </si>
  <si>
    <t>2019 Issue - School &amp; Town (est)</t>
  </si>
  <si>
    <t>?</t>
  </si>
  <si>
    <t>Year</t>
  </si>
  <si>
    <t>Approved</t>
  </si>
  <si>
    <t>Sum of Most Recent 5 Years</t>
  </si>
  <si>
    <t>Tax Task Force - Recommended Limit</t>
  </si>
  <si>
    <t>Under Recommended Limit</t>
  </si>
  <si>
    <t>FY06</t>
  </si>
  <si>
    <t>FY07</t>
  </si>
  <si>
    <t>FY08</t>
  </si>
  <si>
    <t>FY09</t>
  </si>
  <si>
    <t>FY10</t>
  </si>
  <si>
    <t>FY11</t>
  </si>
  <si>
    <t>FY12</t>
  </si>
  <si>
    <t>FY13</t>
  </si>
  <si>
    <t>FY14</t>
  </si>
  <si>
    <t>FY15</t>
  </si>
  <si>
    <t>FY16</t>
  </si>
  <si>
    <t>FY17</t>
  </si>
  <si>
    <t>FY18</t>
  </si>
  <si>
    <t>FY19</t>
  </si>
  <si>
    <t>FY20</t>
  </si>
  <si>
    <t>projected</t>
  </si>
  <si>
    <t>Sum</t>
  </si>
  <si>
    <t>Historical Capital Spending Approvals</t>
  </si>
  <si>
    <t>NOTE:  The projected numbers represent the annual totals of this draft Capital Program</t>
  </si>
  <si>
    <t>Average</t>
  </si>
  <si>
    <t>Land &amp; Bldg Fund</t>
  </si>
  <si>
    <t>Amount to be funded by Muncipal Land and Building Fund (Fund 408)</t>
  </si>
  <si>
    <t>Rennovate Former YB Elementary School Space - Conceptual Design</t>
  </si>
  <si>
    <t>Trackless Sidewalk Tractor 04</t>
  </si>
  <si>
    <t>Fund Balance</t>
  </si>
  <si>
    <t>Amount to be funded with Surplus Fund Balance</t>
  </si>
  <si>
    <t>Voter Approved: July 14,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</si>
</sst>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3" formatCode="_(* #,##0.00_);_(* \(#,##0.00\);_(* &quot;-&quot;??_);_(@_)"/>
    <numFmt numFmtId="164" formatCode="&quot;$&quot;#,##0"/>
    <numFmt numFmtId="165" formatCode="0.0%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238">
    <xf numFmtId="0" fontId="0" fillId="0" borderId="0" xfId="0"/>
    <xf numFmtId="0" fontId="1" fillId="0" borderId="0" xfId="0" applyFont="1"/>
    <xf numFmtId="0" fontId="1" fillId="0" borderId="0" xfId="0" applyFont="1" applyFill="1"/>
    <xf numFmtId="164" fontId="1" fillId="0" borderId="0" xfId="0" applyNumberFormat="1" applyFont="1" applyFill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quotePrefix="1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0" xfId="0" applyFont="1"/>
    <xf numFmtId="0" fontId="6" fillId="0" borderId="0" xfId="0" applyFont="1"/>
    <xf numFmtId="10" fontId="6" fillId="0" borderId="0" xfId="0" applyNumberFormat="1" applyFont="1"/>
    <xf numFmtId="0" fontId="3" fillId="0" borderId="2" xfId="0" applyFont="1" applyBorder="1"/>
    <xf numFmtId="0" fontId="3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164" fontId="1" fillId="0" borderId="0" xfId="0" applyNumberFormat="1" applyFont="1" applyFill="1" applyBorder="1"/>
    <xf numFmtId="0" fontId="1" fillId="0" borderId="0" xfId="0" quotePrefix="1" applyFont="1" applyFill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right"/>
    </xf>
    <xf numFmtId="0" fontId="0" fillId="0" borderId="0" xfId="0" applyFill="1"/>
    <xf numFmtId="0" fontId="3" fillId="0" borderId="2" xfId="0" applyFont="1" applyFill="1" applyBorder="1" applyAlignment="1">
      <alignment horizontal="center" wrapText="1"/>
    </xf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7" xfId="0" applyBorder="1"/>
    <xf numFmtId="0" fontId="0" fillId="0" borderId="9" xfId="0" applyBorder="1"/>
    <xf numFmtId="0" fontId="8" fillId="0" borderId="1" xfId="0" applyFont="1" applyBorder="1"/>
    <xf numFmtId="0" fontId="0" fillId="2" borderId="0" xfId="0" applyFill="1"/>
    <xf numFmtId="0" fontId="0" fillId="3" borderId="0" xfId="0" applyFill="1"/>
    <xf numFmtId="0" fontId="3" fillId="3" borderId="0" xfId="0" applyFont="1" applyFill="1"/>
    <xf numFmtId="0" fontId="3" fillId="3" borderId="2" xfId="0" applyFont="1" applyFill="1" applyBorder="1" applyAlignment="1">
      <alignment horizontal="center"/>
    </xf>
    <xf numFmtId="0" fontId="9" fillId="4" borderId="0" xfId="0" applyFont="1" applyFill="1"/>
    <xf numFmtId="0" fontId="3" fillId="0" borderId="0" xfId="0" applyFont="1" applyFill="1"/>
    <xf numFmtId="0" fontId="3" fillId="0" borderId="2" xfId="0" applyFont="1" applyFill="1" applyBorder="1" applyAlignment="1">
      <alignment horizontal="center"/>
    </xf>
    <xf numFmtId="0" fontId="0" fillId="0" borderId="2" xfId="0" applyBorder="1"/>
    <xf numFmtId="164" fontId="0" fillId="0" borderId="2" xfId="0" applyNumberFormat="1" applyBorder="1"/>
    <xf numFmtId="0" fontId="3" fillId="0" borderId="1" xfId="0" applyFont="1" applyFill="1" applyBorder="1" applyAlignment="1">
      <alignment horizontal="center" wrapText="1"/>
    </xf>
    <xf numFmtId="0" fontId="5" fillId="2" borderId="0" xfId="0" applyFont="1" applyFill="1"/>
    <xf numFmtId="0" fontId="0" fillId="0" borderId="0" xfId="0" applyFill="1" applyBorder="1"/>
    <xf numFmtId="0" fontId="10" fillId="0" borderId="0" xfId="0" applyFont="1" applyFill="1"/>
    <xf numFmtId="0" fontId="0" fillId="0" borderId="11" xfId="0" applyBorder="1"/>
    <xf numFmtId="0" fontId="0" fillId="2" borderId="11" xfId="0" applyFill="1" applyBorder="1"/>
    <xf numFmtId="0" fontId="0" fillId="5" borderId="11" xfId="0" applyFill="1" applyBorder="1"/>
    <xf numFmtId="0" fontId="0" fillId="3" borderId="11" xfId="0" applyFill="1" applyBorder="1"/>
    <xf numFmtId="0" fontId="0" fillId="0" borderId="11" xfId="0" applyFill="1" applyBorder="1"/>
    <xf numFmtId="0" fontId="3" fillId="0" borderId="2" xfId="0" applyFont="1" applyFill="1" applyBorder="1"/>
    <xf numFmtId="0" fontId="0" fillId="0" borderId="7" xfId="0" applyFill="1" applyBorder="1"/>
    <xf numFmtId="0" fontId="3" fillId="5" borderId="2" xfId="0" applyFont="1" applyFill="1" applyBorder="1"/>
    <xf numFmtId="0" fontId="3" fillId="3" borderId="2" xfId="0" applyFont="1" applyFill="1" applyBorder="1"/>
    <xf numFmtId="0" fontId="3" fillId="2" borderId="2" xfId="0" applyFont="1" applyFill="1" applyBorder="1"/>
    <xf numFmtId="0" fontId="3" fillId="5" borderId="11" xfId="0" applyFont="1" applyFill="1" applyBorder="1"/>
    <xf numFmtId="0" fontId="3" fillId="3" borderId="11" xfId="0" applyFont="1" applyFill="1" applyBorder="1"/>
    <xf numFmtId="0" fontId="11" fillId="0" borderId="0" xfId="0" applyFont="1"/>
    <xf numFmtId="0" fontId="13" fillId="2" borderId="0" xfId="0" applyFont="1" applyFill="1"/>
    <xf numFmtId="0" fontId="14" fillId="0" borderId="0" xfId="0" applyFont="1" applyFill="1" applyBorder="1"/>
    <xf numFmtId="0" fontId="3" fillId="0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3" borderId="1" xfId="0" applyFont="1" applyFill="1" applyBorder="1"/>
    <xf numFmtId="0" fontId="3" fillId="0" borderId="0" xfId="0" applyFont="1" applyBorder="1" applyAlignment="1">
      <alignment horizontal="center" wrapText="1"/>
    </xf>
    <xf numFmtId="0" fontId="15" fillId="0" borderId="0" xfId="0" applyFont="1" applyFill="1" applyBorder="1" applyAlignment="1">
      <alignment horizontal="center" wrapText="1"/>
    </xf>
    <xf numFmtId="164" fontId="1" fillId="0" borderId="0" xfId="0" applyNumberFormat="1" applyFont="1" applyFill="1" applyBorder="1" applyAlignment="1">
      <alignment horizontal="right"/>
    </xf>
    <xf numFmtId="164" fontId="14" fillId="0" borderId="0" xfId="0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horizontal="center"/>
    </xf>
    <xf numFmtId="164" fontId="14" fillId="0" borderId="0" xfId="0" applyNumberFormat="1" applyFont="1" applyFill="1" applyBorder="1"/>
    <xf numFmtId="0" fontId="3" fillId="0" borderId="1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43" fontId="0" fillId="2" borderId="0" xfId="1" applyFont="1" applyFill="1"/>
    <xf numFmtId="43" fontId="0" fillId="0" borderId="0" xfId="1" applyFont="1"/>
    <xf numFmtId="43" fontId="3" fillId="0" borderId="0" xfId="1" applyFont="1"/>
    <xf numFmtId="43" fontId="3" fillId="0" borderId="2" xfId="1" applyFont="1" applyBorder="1" applyAlignment="1">
      <alignment horizontal="center" wrapText="1"/>
    </xf>
    <xf numFmtId="43" fontId="9" fillId="4" borderId="0" xfId="1" applyFont="1" applyFill="1"/>
    <xf numFmtId="43" fontId="0" fillId="0" borderId="4" xfId="1" applyFont="1" applyBorder="1"/>
    <xf numFmtId="43" fontId="0" fillId="0" borderId="0" xfId="1" applyFont="1" applyBorder="1"/>
    <xf numFmtId="43" fontId="8" fillId="0" borderId="1" xfId="1" applyFont="1" applyBorder="1"/>
    <xf numFmtId="43" fontId="3" fillId="0" borderId="0" xfId="1" applyFont="1" applyBorder="1" applyAlignment="1">
      <alignment horizontal="center" wrapText="1"/>
    </xf>
    <xf numFmtId="43" fontId="0" fillId="0" borderId="5" xfId="1" applyFont="1" applyBorder="1"/>
    <xf numFmtId="43" fontId="0" fillId="0" borderId="7" xfId="1" applyFont="1" applyBorder="1"/>
    <xf numFmtId="43" fontId="0" fillId="0" borderId="9" xfId="1" applyFont="1" applyBorder="1"/>
    <xf numFmtId="0" fontId="14" fillId="0" borderId="0" xfId="0" quotePrefix="1" applyFont="1" applyFill="1" applyBorder="1" applyAlignment="1">
      <alignment horizontal="center"/>
    </xf>
    <xf numFmtId="0" fontId="0" fillId="0" borderId="2" xfId="0" applyFont="1" applyBorder="1"/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4" xfId="0" applyFont="1" applyBorder="1"/>
    <xf numFmtId="0" fontId="0" fillId="0" borderId="0" xfId="0" applyFont="1" applyBorder="1"/>
    <xf numFmtId="0" fontId="0" fillId="0" borderId="1" xfId="0" applyFont="1" applyBorder="1"/>
    <xf numFmtId="14" fontId="7" fillId="0" borderId="0" xfId="0" applyNumberFormat="1" applyFont="1" applyAlignment="1">
      <alignment horizontal="left"/>
    </xf>
    <xf numFmtId="3" fontId="1" fillId="0" borderId="0" xfId="1" applyNumberFormat="1" applyFont="1" applyFill="1"/>
    <xf numFmtId="3" fontId="1" fillId="0" borderId="0" xfId="0" applyNumberFormat="1" applyFont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/>
    <xf numFmtId="3" fontId="1" fillId="0" borderId="0" xfId="1" quotePrefix="1" applyNumberFormat="1" applyFont="1" applyFill="1" applyBorder="1" applyAlignment="1">
      <alignment horizontal="right"/>
    </xf>
    <xf numFmtId="3" fontId="0" fillId="0" borderId="2" xfId="1" applyNumberFormat="1" applyFont="1" applyBorder="1"/>
    <xf numFmtId="37" fontId="0" fillId="0" borderId="0" xfId="1" applyNumberFormat="1" applyFont="1"/>
    <xf numFmtId="37" fontId="9" fillId="4" borderId="0" xfId="1" applyNumberFormat="1" applyFont="1" applyFill="1"/>
    <xf numFmtId="5" fontId="0" fillId="0" borderId="3" xfId="1" applyNumberFormat="1" applyFont="1" applyBorder="1"/>
    <xf numFmtId="5" fontId="0" fillId="0" borderId="6" xfId="1" applyNumberFormat="1" applyFont="1" applyBorder="1"/>
    <xf numFmtId="5" fontId="3" fillId="0" borderId="8" xfId="1" applyNumberFormat="1" applyFont="1" applyBorder="1"/>
    <xf numFmtId="0" fontId="0" fillId="4" borderId="0" xfId="0" applyFont="1" applyFill="1"/>
    <xf numFmtId="3" fontId="1" fillId="3" borderId="0" xfId="0" applyNumberFormat="1" applyFont="1" applyFill="1" applyAlignment="1">
      <alignment horizontal="right"/>
    </xf>
    <xf numFmtId="3" fontId="1" fillId="3" borderId="0" xfId="0" applyNumberFormat="1" applyFont="1" applyFill="1"/>
    <xf numFmtId="3" fontId="0" fillId="3" borderId="2" xfId="1" applyNumberFormat="1" applyFont="1" applyFill="1" applyBorder="1"/>
    <xf numFmtId="3" fontId="0" fillId="0" borderId="0" xfId="1" applyNumberFormat="1" applyFont="1"/>
    <xf numFmtId="3" fontId="0" fillId="0" borderId="0" xfId="0" applyNumberFormat="1" applyFont="1"/>
    <xf numFmtId="3" fontId="0" fillId="3" borderId="0" xfId="0" applyNumberFormat="1" applyFont="1" applyFill="1"/>
    <xf numFmtId="3" fontId="0" fillId="3" borderId="0" xfId="1" applyNumberFormat="1" applyFont="1" applyFill="1"/>
    <xf numFmtId="14" fontId="0" fillId="0" borderId="0" xfId="0" applyNumberFormat="1"/>
    <xf numFmtId="5" fontId="1" fillId="0" borderId="0" xfId="1" applyNumberFormat="1" applyFont="1" applyFill="1"/>
    <xf numFmtId="5" fontId="1" fillId="0" borderId="0" xfId="1" applyNumberFormat="1" applyFont="1"/>
    <xf numFmtId="5" fontId="0" fillId="0" borderId="2" xfId="1" applyNumberFormat="1" applyFont="1" applyBorder="1"/>
    <xf numFmtId="3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 wrapText="1"/>
    </xf>
    <xf numFmtId="164" fontId="1" fillId="0" borderId="0" xfId="1" applyNumberFormat="1" applyFont="1" applyFill="1"/>
    <xf numFmtId="3" fontId="0" fillId="3" borderId="0" xfId="0" applyNumberFormat="1" applyFill="1"/>
    <xf numFmtId="3" fontId="3" fillId="3" borderId="0" xfId="0" applyNumberFormat="1" applyFont="1" applyFill="1" applyBorder="1" applyAlignment="1">
      <alignment horizontal="center"/>
    </xf>
    <xf numFmtId="3" fontId="0" fillId="3" borderId="2" xfId="0" applyNumberFormat="1" applyFill="1" applyBorder="1"/>
    <xf numFmtId="3" fontId="0" fillId="0" borderId="0" xfId="0" applyNumberFormat="1"/>
    <xf numFmtId="3" fontId="1" fillId="0" borderId="0" xfId="1" applyNumberFormat="1" applyFont="1" applyFill="1" applyAlignment="1">
      <alignment horizontal="right"/>
    </xf>
    <xf numFmtId="3" fontId="0" fillId="0" borderId="2" xfId="0" applyNumberFormat="1" applyFont="1" applyBorder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3" fontId="0" fillId="0" borderId="0" xfId="0" applyNumberFormat="1" applyFont="1" applyFill="1" applyAlignment="1">
      <alignment horizontal="right"/>
    </xf>
    <xf numFmtId="3" fontId="0" fillId="0" borderId="0" xfId="0" applyNumberFormat="1" applyFont="1" applyAlignment="1">
      <alignment horizontal="right"/>
    </xf>
    <xf numFmtId="3" fontId="0" fillId="3" borderId="0" xfId="0" applyNumberFormat="1" applyFont="1" applyFill="1" applyBorder="1" applyAlignment="1">
      <alignment horizontal="center"/>
    </xf>
    <xf numFmtId="5" fontId="0" fillId="0" borderId="8" xfId="1" applyNumberFormat="1" applyFont="1" applyBorder="1"/>
    <xf numFmtId="43" fontId="0" fillId="0" borderId="1" xfId="1" applyFont="1" applyBorder="1"/>
    <xf numFmtId="0" fontId="0" fillId="4" borderId="0" xfId="0" applyFill="1"/>
    <xf numFmtId="3" fontId="1" fillId="0" borderId="0" xfId="0" applyNumberFormat="1" applyFont="1" applyFill="1" applyBorder="1" applyAlignment="1">
      <alignment wrapText="1"/>
    </xf>
    <xf numFmtId="3" fontId="1" fillId="0" borderId="0" xfId="0" applyNumberFormat="1" applyFont="1" applyFill="1" applyAlignment="1"/>
    <xf numFmtId="3" fontId="1" fillId="0" borderId="0" xfId="0" applyNumberFormat="1" applyFont="1" applyFill="1" applyBorder="1" applyAlignment="1"/>
    <xf numFmtId="3" fontId="1" fillId="0" borderId="0" xfId="0" applyNumberFormat="1" applyFont="1" applyAlignment="1"/>
    <xf numFmtId="3" fontId="0" fillId="0" borderId="2" xfId="0" applyNumberFormat="1" applyFont="1" applyBorder="1" applyAlignment="1"/>
    <xf numFmtId="3" fontId="0" fillId="0" borderId="0" xfId="0" applyNumberFormat="1" applyFont="1" applyFill="1" applyAlignment="1"/>
    <xf numFmtId="3" fontId="0" fillId="0" borderId="0" xfId="0" applyNumberFormat="1" applyFont="1" applyAlignment="1"/>
    <xf numFmtId="3" fontId="1" fillId="0" borderId="0" xfId="0" quotePrefix="1" applyNumberFormat="1" applyFont="1" applyFill="1" applyBorder="1" applyAlignment="1"/>
    <xf numFmtId="3" fontId="1" fillId="3" borderId="0" xfId="0" applyNumberFormat="1" applyFont="1" applyFill="1" applyBorder="1" applyAlignment="1"/>
    <xf numFmtId="3" fontId="1" fillId="3" borderId="0" xfId="0" applyNumberFormat="1" applyFont="1" applyFill="1" applyAlignment="1"/>
    <xf numFmtId="3" fontId="0" fillId="3" borderId="2" xfId="0" applyNumberFormat="1" applyFont="1" applyFill="1" applyBorder="1" applyAlignment="1"/>
    <xf numFmtId="3" fontId="0" fillId="3" borderId="0" xfId="0" applyNumberFormat="1" applyFont="1" applyFill="1" applyAlignment="1"/>
    <xf numFmtId="3" fontId="3" fillId="3" borderId="2" xfId="0" applyNumberFormat="1" applyFont="1" applyFill="1" applyBorder="1"/>
    <xf numFmtId="164" fontId="0" fillId="0" borderId="3" xfId="0" applyNumberFormat="1" applyBorder="1"/>
    <xf numFmtId="164" fontId="0" fillId="0" borderId="6" xfId="0" applyNumberFormat="1" applyBorder="1"/>
    <xf numFmtId="164" fontId="0" fillId="0" borderId="8" xfId="0" applyNumberFormat="1" applyBorder="1"/>
    <xf numFmtId="164" fontId="3" fillId="0" borderId="8" xfId="0" applyNumberFormat="1" applyFont="1" applyBorder="1"/>
    <xf numFmtId="3" fontId="9" fillId="4" borderId="0" xfId="0" applyNumberFormat="1" applyFont="1" applyFill="1"/>
    <xf numFmtId="0" fontId="16" fillId="0" borderId="0" xfId="0" applyFont="1"/>
    <xf numFmtId="0" fontId="17" fillId="0" borderId="13" xfId="0" applyFont="1" applyBorder="1"/>
    <xf numFmtId="0" fontId="18" fillId="0" borderId="14" xfId="0" applyFont="1" applyBorder="1"/>
    <xf numFmtId="0" fontId="18" fillId="0" borderId="15" xfId="0" applyFont="1" applyBorder="1"/>
    <xf numFmtId="0" fontId="19" fillId="0" borderId="16" xfId="0" applyFont="1" applyFill="1" applyBorder="1"/>
    <xf numFmtId="0" fontId="19" fillId="0" borderId="0" xfId="0" applyFont="1" applyFill="1" applyBorder="1"/>
    <xf numFmtId="165" fontId="19" fillId="0" borderId="17" xfId="0" applyNumberFormat="1" applyFont="1" applyFill="1" applyBorder="1"/>
    <xf numFmtId="0" fontId="19" fillId="0" borderId="18" xfId="0" applyFont="1" applyBorder="1"/>
    <xf numFmtId="0" fontId="19" fillId="0" borderId="10" xfId="0" applyFont="1" applyBorder="1"/>
    <xf numFmtId="165" fontId="19" fillId="0" borderId="19" xfId="0" applyNumberFormat="1" applyFont="1" applyBorder="1"/>
    <xf numFmtId="0" fontId="18" fillId="0" borderId="14" xfId="0" applyFont="1" applyFill="1" applyBorder="1"/>
    <xf numFmtId="0" fontId="18" fillId="0" borderId="15" xfId="0" applyFont="1" applyFill="1" applyBorder="1"/>
    <xf numFmtId="0" fontId="19" fillId="0" borderId="18" xfId="0" applyFont="1" applyFill="1" applyBorder="1"/>
    <xf numFmtId="0" fontId="19" fillId="0" borderId="10" xfId="0" applyFont="1" applyFill="1" applyBorder="1"/>
    <xf numFmtId="165" fontId="19" fillId="0" borderId="19" xfId="0" applyNumberFormat="1" applyFont="1" applyFill="1" applyBorder="1"/>
    <xf numFmtId="0" fontId="17" fillId="0" borderId="13" xfId="0" applyFont="1" applyFill="1" applyBorder="1"/>
    <xf numFmtId="0" fontId="18" fillId="0" borderId="0" xfId="0" applyFont="1" applyFill="1" applyBorder="1"/>
    <xf numFmtId="43" fontId="18" fillId="0" borderId="15" xfId="1" applyFont="1" applyFill="1" applyBorder="1"/>
    <xf numFmtId="165" fontId="19" fillId="0" borderId="17" xfId="1" applyNumberFormat="1" applyFont="1" applyFill="1" applyBorder="1"/>
    <xf numFmtId="165" fontId="19" fillId="0" borderId="19" xfId="1" applyNumberFormat="1" applyFont="1" applyFill="1" applyBorder="1"/>
    <xf numFmtId="3" fontId="0" fillId="0" borderId="0" xfId="0" applyNumberFormat="1" applyBorder="1"/>
    <xf numFmtId="3" fontId="0" fillId="0" borderId="0" xfId="0" applyNumberFormat="1" applyFill="1"/>
    <xf numFmtId="3" fontId="4" fillId="0" borderId="0" xfId="0" applyNumberFormat="1" applyFont="1" applyFill="1"/>
    <xf numFmtId="3" fontId="0" fillId="0" borderId="0" xfId="0" applyNumberFormat="1" applyFont="1" applyBorder="1"/>
    <xf numFmtId="3" fontId="0" fillId="5" borderId="2" xfId="0" applyNumberFormat="1" applyFill="1" applyBorder="1"/>
    <xf numFmtId="3" fontId="0" fillId="2" borderId="2" xfId="0" applyNumberFormat="1" applyFill="1" applyBorder="1"/>
    <xf numFmtId="3" fontId="3" fillId="0" borderId="2" xfId="0" applyNumberFormat="1" applyFont="1" applyFill="1" applyBorder="1" applyAlignment="1">
      <alignment horizontal="center"/>
    </xf>
    <xf numFmtId="3" fontId="3" fillId="0" borderId="2" xfId="0" applyNumberFormat="1" applyFont="1" applyFill="1" applyBorder="1" applyAlignment="1">
      <alignment horizontal="center" wrapText="1"/>
    </xf>
    <xf numFmtId="3" fontId="3" fillId="5" borderId="2" xfId="0" applyNumberFormat="1" applyFont="1" applyFill="1" applyBorder="1"/>
    <xf numFmtId="0" fontId="3" fillId="2" borderId="20" xfId="0" applyFont="1" applyFill="1" applyBorder="1"/>
    <xf numFmtId="0" fontId="0" fillId="2" borderId="21" xfId="0" applyFill="1" applyBorder="1"/>
    <xf numFmtId="3" fontId="0" fillId="2" borderId="20" xfId="0" applyNumberFormat="1" applyFill="1" applyBorder="1"/>
    <xf numFmtId="0" fontId="16" fillId="2" borderId="1" xfId="0" applyFont="1" applyFill="1" applyBorder="1"/>
    <xf numFmtId="3" fontId="16" fillId="2" borderId="1" xfId="0" quotePrefix="1" applyNumberFormat="1" applyFont="1" applyFill="1" applyBorder="1" applyAlignment="1">
      <alignment horizontal="right"/>
    </xf>
    <xf numFmtId="3" fontId="16" fillId="2" borderId="1" xfId="0" applyNumberFormat="1" applyFont="1" applyFill="1" applyBorder="1"/>
    <xf numFmtId="0" fontId="3" fillId="2" borderId="21" xfId="0" applyFont="1" applyFill="1" applyBorder="1"/>
    <xf numFmtId="3" fontId="3" fillId="2" borderId="20" xfId="0" applyNumberFormat="1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3" fontId="3" fillId="3" borderId="4" xfId="0" applyNumberFormat="1" applyFont="1" applyFill="1" applyBorder="1"/>
    <xf numFmtId="0" fontId="16" fillId="5" borderId="1" xfId="0" applyFont="1" applyFill="1" applyBorder="1"/>
    <xf numFmtId="3" fontId="16" fillId="5" borderId="1" xfId="0" quotePrefix="1" applyNumberFormat="1" applyFont="1" applyFill="1" applyBorder="1" applyAlignment="1">
      <alignment horizontal="right"/>
    </xf>
    <xf numFmtId="3" fontId="16" fillId="5" borderId="1" xfId="0" applyNumberFormat="1" applyFont="1" applyFill="1" applyBorder="1"/>
    <xf numFmtId="0" fontId="3" fillId="5" borderId="1" xfId="0" applyFont="1" applyFill="1" applyBorder="1"/>
    <xf numFmtId="0" fontId="3" fillId="5" borderId="20" xfId="0" applyFont="1" applyFill="1" applyBorder="1"/>
    <xf numFmtId="0" fontId="0" fillId="5" borderId="21" xfId="0" applyFill="1" applyBorder="1"/>
    <xf numFmtId="3" fontId="0" fillId="5" borderId="20" xfId="0" applyNumberFormat="1" applyFill="1" applyBorder="1"/>
    <xf numFmtId="0" fontId="3" fillId="3" borderId="0" xfId="0" applyFont="1" applyFill="1" applyBorder="1"/>
    <xf numFmtId="0" fontId="0" fillId="3" borderId="7" xfId="0" applyFill="1" applyBorder="1"/>
    <xf numFmtId="3" fontId="0" fillId="3" borderId="0" xfId="0" applyNumberFormat="1" applyFill="1" applyBorder="1"/>
    <xf numFmtId="0" fontId="3" fillId="3" borderId="20" xfId="0" applyFont="1" applyFill="1" applyBorder="1"/>
    <xf numFmtId="0" fontId="0" fillId="3" borderId="21" xfId="0" applyFill="1" applyBorder="1"/>
    <xf numFmtId="3" fontId="0" fillId="3" borderId="20" xfId="0" applyNumberFormat="1" applyFill="1" applyBorder="1"/>
    <xf numFmtId="3" fontId="0" fillId="0" borderId="0" xfId="0" applyNumberFormat="1" applyFill="1" applyBorder="1"/>
    <xf numFmtId="3" fontId="0" fillId="0" borderId="10" xfId="0" applyNumberFormat="1" applyFill="1" applyBorder="1"/>
    <xf numFmtId="3" fontId="0" fillId="0" borderId="6" xfId="0" applyNumberFormat="1" applyBorder="1"/>
    <xf numFmtId="3" fontId="0" fillId="0" borderId="6" xfId="0" applyNumberFormat="1" applyFill="1" applyBorder="1"/>
    <xf numFmtId="0" fontId="20" fillId="0" borderId="1" xfId="0" applyFont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1" xfId="0" applyFont="1" applyBorder="1" applyAlignment="1">
      <alignment horizontal="center" wrapText="1"/>
    </xf>
    <xf numFmtId="0" fontId="7" fillId="0" borderId="0" xfId="0" applyFont="1"/>
    <xf numFmtId="164" fontId="7" fillId="0" borderId="0" xfId="0" applyNumberFormat="1" applyFont="1"/>
    <xf numFmtId="164" fontId="7" fillId="0" borderId="0" xfId="0" applyNumberFormat="1" applyFont="1" applyFill="1" applyBorder="1"/>
    <xf numFmtId="0" fontId="7" fillId="0" borderId="0" xfId="0" quotePrefix="1" applyFont="1" applyAlignment="1">
      <alignment horizontal="right"/>
    </xf>
    <xf numFmtId="164" fontId="7" fillId="0" borderId="0" xfId="0" applyNumberFormat="1" applyFont="1" applyAlignment="1">
      <alignment horizontal="right"/>
    </xf>
    <xf numFmtId="0" fontId="7" fillId="0" borderId="0" xfId="0" applyFont="1" applyBorder="1"/>
    <xf numFmtId="164" fontId="7" fillId="0" borderId="0" xfId="0" applyNumberFormat="1" applyFont="1" applyBorder="1"/>
    <xf numFmtId="0" fontId="7" fillId="0" borderId="0" xfId="0" applyFont="1" applyFill="1" applyBorder="1"/>
    <xf numFmtId="164" fontId="7" fillId="0" borderId="0" xfId="0" applyNumberFormat="1" applyFont="1" applyFill="1" applyAlignment="1">
      <alignment horizontal="right"/>
    </xf>
    <xf numFmtId="164" fontId="7" fillId="0" borderId="0" xfId="0" applyNumberFormat="1" applyFont="1" applyFill="1"/>
    <xf numFmtId="0" fontId="21" fillId="0" borderId="0" xfId="0" applyFont="1" applyFill="1" applyBorder="1" applyAlignment="1">
      <alignment horizontal="center"/>
    </xf>
    <xf numFmtId="0" fontId="7" fillId="0" borderId="1" xfId="0" applyFont="1" applyFill="1" applyBorder="1"/>
    <xf numFmtId="0" fontId="21" fillId="0" borderId="1" xfId="0" applyFont="1" applyFill="1" applyBorder="1" applyAlignment="1">
      <alignment horizontal="center"/>
    </xf>
    <xf numFmtId="164" fontId="7" fillId="0" borderId="1" xfId="0" applyNumberFormat="1" applyFont="1" applyFill="1" applyBorder="1"/>
    <xf numFmtId="164" fontId="7" fillId="0" borderId="1" xfId="0" applyNumberFormat="1" applyFont="1" applyFill="1" applyBorder="1" applyAlignment="1">
      <alignment horizontal="right"/>
    </xf>
    <xf numFmtId="0" fontId="20" fillId="0" borderId="0" xfId="0" applyFont="1" applyFill="1" applyBorder="1" applyAlignment="1">
      <alignment horizontal="right"/>
    </xf>
    <xf numFmtId="164" fontId="20" fillId="0" borderId="0" xfId="0" applyNumberFormat="1" applyFont="1" applyFill="1"/>
    <xf numFmtId="164" fontId="20" fillId="0" borderId="0" xfId="0" applyNumberFormat="1" applyFont="1" applyFill="1" applyBorder="1"/>
    <xf numFmtId="0" fontId="7" fillId="0" borderId="0" xfId="0" applyFont="1" applyFill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22" fillId="0" borderId="0" xfId="0" applyNumberFormat="1" applyFont="1" applyFill="1" applyBorder="1"/>
    <xf numFmtId="164" fontId="22" fillId="0" borderId="1" xfId="0" applyNumberFormat="1" applyFont="1" applyFill="1" applyBorder="1"/>
    <xf numFmtId="0" fontId="1" fillId="0" borderId="0" xfId="0" applyFont="1" applyFill="1" applyBorder="1" applyAlignment="1">
      <alignment horizontal="center" wrapText="1"/>
    </xf>
    <xf numFmtId="164" fontId="0" fillId="0" borderId="2" xfId="1" applyNumberFormat="1" applyFont="1" applyBorder="1"/>
    <xf numFmtId="0" fontId="0" fillId="0" borderId="0" xfId="0" applyFont="1" applyFill="1" applyBorder="1"/>
    <xf numFmtId="14" fontId="0" fillId="0" borderId="0" xfId="0" applyNumberFormat="1" applyAlignment="1">
      <alignment horizontal="left"/>
    </xf>
    <xf numFmtId="0" fontId="10" fillId="5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'Historical Timeline'!$C$7:$C$26</c:f>
              <c:numCache>
                <c:formatCode>"$"#,##0</c:formatCode>
                <c:ptCount val="20"/>
                <c:pt idx="0">
                  <c:v>1173932</c:v>
                </c:pt>
                <c:pt idx="1">
                  <c:v>2365057</c:v>
                </c:pt>
                <c:pt idx="2">
                  <c:v>668500</c:v>
                </c:pt>
                <c:pt idx="3">
                  <c:v>5172425</c:v>
                </c:pt>
                <c:pt idx="4">
                  <c:v>7386022</c:v>
                </c:pt>
                <c:pt idx="5">
                  <c:v>5103893</c:v>
                </c:pt>
                <c:pt idx="6">
                  <c:v>12293569</c:v>
                </c:pt>
                <c:pt idx="7">
                  <c:v>4727006</c:v>
                </c:pt>
                <c:pt idx="8">
                  <c:v>3033652</c:v>
                </c:pt>
                <c:pt idx="9">
                  <c:v>2166415</c:v>
                </c:pt>
                <c:pt idx="10">
                  <c:v>12082000</c:v>
                </c:pt>
                <c:pt idx="11">
                  <c:v>4111000</c:v>
                </c:pt>
                <c:pt idx="12">
                  <c:v>3456000</c:v>
                </c:pt>
                <c:pt idx="13">
                  <c:v>4692000</c:v>
                </c:pt>
                <c:pt idx="14">
                  <c:v>4067000</c:v>
                </c:pt>
                <c:pt idx="15">
                  <c:v>5139000</c:v>
                </c:pt>
                <c:pt idx="16">
                  <c:v>9169000</c:v>
                </c:pt>
                <c:pt idx="17">
                  <c:v>4173000</c:v>
                </c:pt>
                <c:pt idx="18">
                  <c:v>3741000</c:v>
                </c:pt>
                <c:pt idx="19">
                  <c:v>4911000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54-4C06-9370-B2AB29B66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3188304"/>
        <c:axId val="263190272"/>
      </c:lineChart>
      <c:catAx>
        <c:axId val="2631883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3190272"/>
        <c:crosses val="autoZero"/>
        <c:auto val="1"/>
        <c:lblAlgn val="ctr"/>
        <c:lblOffset val="100"/>
        <c:noMultiLvlLbl val="0"/>
      </c:catAx>
      <c:valAx>
        <c:axId val="26319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3188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ustomXml" Target="../ink/ink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ustomXml" Target="../ink/ink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customXml" Target="../ink/ink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customXml" Target="../ink/ink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customXml" Target="../ink/ink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242820</xdr:colOff>
      <xdr:row>1</xdr:row>
      <xdr:rowOff>47625</xdr:rowOff>
    </xdr:from>
    <xdr:to>
      <xdr:col>0</xdr:col>
      <xdr:colOff>323820</xdr:colOff>
      <xdr:row>1</xdr:row>
      <xdr:rowOff>114405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822196DE-82D5-42F6-AC75-67159157C20C}"/>
                </a:ext>
              </a:extLst>
            </xdr14:cNvPr>
            <xdr14:cNvContentPartPr/>
          </xdr14:nvContentPartPr>
          <xdr14:nvPr macro=""/>
          <xdr14:xfrm>
            <a:off x="242820" y="342900"/>
            <a:ext cx="81000" cy="66780"/>
          </xdr14:xfrm>
        </xdr:contentPart>
      </mc:Choice>
      <mc:Fallback xmlns="">
        <xdr:pic>
          <xdr:nvPicPr>
            <xdr:cNvPr id="3" name="Ink 2">
              <a:extLst>
                <a:ext uri="{FF2B5EF4-FFF2-40B4-BE49-F238E27FC236}">
                  <a16:creationId xmlns:a16="http://schemas.microsoft.com/office/drawing/2014/main" id="{822196DE-82D5-42F6-AC75-67159157C20C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38519" y="338592"/>
              <a:ext cx="89602" cy="75397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242820</xdr:colOff>
      <xdr:row>1</xdr:row>
      <xdr:rowOff>47625</xdr:rowOff>
    </xdr:from>
    <xdr:to>
      <xdr:col>0</xdr:col>
      <xdr:colOff>323820</xdr:colOff>
      <xdr:row>1</xdr:row>
      <xdr:rowOff>114405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D9B947D6-66BE-4B74-A04F-A4BE4DB781E2}"/>
                </a:ext>
              </a:extLst>
            </xdr14:cNvPr>
            <xdr14:cNvContentPartPr/>
          </xdr14:nvContentPartPr>
          <xdr14:nvPr macro=""/>
          <xdr14:xfrm>
            <a:off x="242820" y="342900"/>
            <a:ext cx="81000" cy="66780"/>
          </xdr14:xfrm>
        </xdr:contentPart>
      </mc:Choice>
      <mc:Fallback xmlns="">
        <xdr:pic>
          <xdr:nvPicPr>
            <xdr:cNvPr id="3" name="Ink 2">
              <a:extLst>
                <a:ext uri="{FF2B5EF4-FFF2-40B4-BE49-F238E27FC236}">
                  <a16:creationId xmlns:a16="http://schemas.microsoft.com/office/drawing/2014/main" id="{D9B947D6-66BE-4B74-A04F-A4BE4DB781E2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38519" y="338592"/>
              <a:ext cx="89602" cy="75397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123660</xdr:colOff>
      <xdr:row>1</xdr:row>
      <xdr:rowOff>47625</xdr:rowOff>
    </xdr:from>
    <xdr:to>
      <xdr:col>0</xdr:col>
      <xdr:colOff>323820</xdr:colOff>
      <xdr:row>1</xdr:row>
      <xdr:rowOff>162105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5FF1A72E-2C6C-48C3-BBDC-10BED931EC20}"/>
                </a:ext>
              </a:extLst>
            </xdr14:cNvPr>
            <xdr14:cNvContentPartPr/>
          </xdr14:nvContentPartPr>
          <xdr14:nvPr macro=""/>
          <xdr14:xfrm>
            <a:off x="123660" y="342900"/>
            <a:ext cx="200160" cy="11448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5FF1A72E-2C6C-48C3-BBDC-10BED931EC20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19348" y="338594"/>
              <a:ext cx="208784" cy="123093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123660</xdr:colOff>
      <xdr:row>1</xdr:row>
      <xdr:rowOff>47625</xdr:rowOff>
    </xdr:from>
    <xdr:to>
      <xdr:col>0</xdr:col>
      <xdr:colOff>323820</xdr:colOff>
      <xdr:row>1</xdr:row>
      <xdr:rowOff>162105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4A4DB0D1-B483-4D45-875E-FF323A11EF22}"/>
                </a:ext>
              </a:extLst>
            </xdr14:cNvPr>
            <xdr14:cNvContentPartPr/>
          </xdr14:nvContentPartPr>
          <xdr14:nvPr macro=""/>
          <xdr14:xfrm>
            <a:off x="123660" y="342900"/>
            <a:ext cx="200160" cy="11448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5FF1A72E-2C6C-48C3-BBDC-10BED931EC20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19348" y="338594"/>
              <a:ext cx="208784" cy="123093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123660</xdr:colOff>
      <xdr:row>1</xdr:row>
      <xdr:rowOff>47625</xdr:rowOff>
    </xdr:from>
    <xdr:to>
      <xdr:col>0</xdr:col>
      <xdr:colOff>323820</xdr:colOff>
      <xdr:row>1</xdr:row>
      <xdr:rowOff>162105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Ink 1">
              <a:extLst>
                <a:ext uri="{FF2B5EF4-FFF2-40B4-BE49-F238E27FC236}">
                  <a16:creationId xmlns:a16="http://schemas.microsoft.com/office/drawing/2014/main" id="{BD15E190-C167-4E0F-93B9-CA4F7D7D0922}"/>
                </a:ext>
              </a:extLst>
            </xdr14:cNvPr>
            <xdr14:cNvContentPartPr/>
          </xdr14:nvContentPartPr>
          <xdr14:nvPr macro=""/>
          <xdr14:xfrm>
            <a:off x="123660" y="342900"/>
            <a:ext cx="200160" cy="11448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5FF1A72E-2C6C-48C3-BBDC-10BED931EC20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19348" y="338594"/>
              <a:ext cx="208784" cy="123093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23811</xdr:rowOff>
    </xdr:from>
    <xdr:to>
      <xdr:col>6</xdr:col>
      <xdr:colOff>962025</xdr:colOff>
      <xdr:row>45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8C7228A-BD3A-4D6D-82A3-A47B877065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17-12-06T00:54:32.976"/>
    </inkml:context>
    <inkml:brush xml:id="br0">
      <inkml:brushProperty name="width" value="0.025" units="cm"/>
      <inkml:brushProperty name="height" value="0.025" units="cm"/>
    </inkml:brush>
  </inkml:definitions>
  <inkml:trace contextRef="#ctx0" brushRef="#br0">675 1046 3456,'0'-27'1312,"0"54"-704,0-14 0,13 0 512,-13-13-192,0 0 0</inkml:trace>
  <inkml:trace contextRef="#ctx0" brushRef="#br0" timeOffset="1">688 1072 10080,'0'0'768,"0"0"-128,13 14-224,-13-1-256,13 0-160,-13 0-96,0-13 64,0 13-1984,0-26-1120</inkml:trace>
  <inkml:trace contextRef="#ctx0" brushRef="#br0" timeOffset="2">900 1032 6016,'0'-26'2272,"0"12"-1216,-13 14-1088,13 0 384,0 0-160,0-13-32</inkml:trace>
  <inkml:trace contextRef="#ctx0" brushRef="#br0" timeOffset="3">874 953 5120,'0'0'2016,"0"0"-1088,0 0-3264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17-12-06T00:54:41.212"/>
    </inkml:context>
    <inkml:brush xml:id="br0">
      <inkml:brushProperty name="width" value="0.025" units="cm"/>
      <inkml:brushProperty name="height" value="0.025" units="cm"/>
    </inkml:brush>
  </inkml:definitions>
  <inkml:trace contextRef="#ctx0" brushRef="#br0">675 1046 3456,'0'-27'1312,"0"54"-704,0-14 0,13 0 512,-13-13-192,0 0 0</inkml:trace>
  <inkml:trace contextRef="#ctx0" brushRef="#br0" timeOffset="1">688 1072 10080,'0'0'768,"0"0"-128,13 14-224,-13-1-256,13 0-160,-13 0-96,0-13 64,0 13-1984,0-26-1120</inkml:trace>
  <inkml:trace contextRef="#ctx0" brushRef="#br0" timeOffset="2">900 1032 6016,'0'-26'2272,"0"12"-1216,-13 14-1088,13 0 384,0 0-160,0-13-32</inkml:trace>
  <inkml:trace contextRef="#ctx0" brushRef="#br0" timeOffset="3">874 953 5120,'0'0'2016,"0"0"-1088,0 0-3264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17-12-06T00:54:58.280"/>
    </inkml:context>
    <inkml:brush xml:id="br0">
      <inkml:brushProperty name="width" value="0.025" units="cm"/>
      <inkml:brushProperty name="height" value="0.025" units="cm"/>
    </inkml:brush>
  </inkml:definitions>
  <inkml:traceGroup>
    <inkml:annotationXML>
      <emma:emma xmlns:emma="http://www.w3.org/2003/04/emma" version="1.0">
        <emma:interpretation id="{E4609F05-5F85-4525-9CCE-E775C6FADC29}" emma:medium="tactile" emma:mode="ink">
          <msink:context xmlns:msink="http://schemas.microsoft.com/ink/2010/main" type="writingRegion" rotatedBoundingBox="310,1159 882,936 985,1200 413,1423"/>
        </emma:interpretation>
      </emma:emma>
    </inkml:annotationXML>
    <inkml:traceGroup>
      <inkml:annotationXML>
        <emma:emma xmlns:emma="http://www.w3.org/2003/04/emma" version="1.0">
          <emma:interpretation id="{5DE45981-6054-4739-83C2-994556D4AF4A}" emma:medium="tactile" emma:mode="ink">
            <msink:context xmlns:msink="http://schemas.microsoft.com/ink/2010/main" type="paragraph" rotatedBoundingBox="310,1159 882,936 985,1200 413,1423" alignmentLevel="1"/>
          </emma:interpretation>
        </emma:emma>
      </inkml:annotationXML>
      <inkml:traceGroup>
        <inkml:annotationXML>
          <emma:emma xmlns:emma="http://www.w3.org/2003/04/emma" version="1.0">
            <emma:interpretation id="{E9452A8C-A2CF-4077-B45C-393AA05F3050}" emma:medium="tactile" emma:mode="ink">
              <msink:context xmlns:msink="http://schemas.microsoft.com/ink/2010/main" type="line" rotatedBoundingBox="310,1159 882,936 985,1200 413,1423"/>
            </emma:interpretation>
          </emma:emma>
        </inkml:annotationXML>
        <inkml:traceGroup>
          <inkml:annotationXML>
            <emma:emma xmlns:emma="http://www.w3.org/2003/04/emma" version="1.0">
              <emma:interpretation id="{1D46A09E-A813-476A-8AC5-67E0F17AE0EC}" emma:medium="tactile" emma:mode="ink">
                <msink:context xmlns:msink="http://schemas.microsoft.com/ink/2010/main" type="inkWord" rotatedBoundingBox="343,1190 343,1217 328,1217 328,1190"/>
              </emma:interpretation>
              <emma:one-of disjunction-type="recognition" id="oneOf0">
                <emma:interpretation id="interp0" emma:lang="en-US" emma:confidence="0">
                  <emma:literal>1</emma:literal>
                </emma:interpretation>
                <emma:interpretation id="interp1" emma:lang="en-US" emma:confidence="0">
                  <emma:literal>A</emma:literal>
                </emma:interpretation>
                <emma:interpretation id="interp2" emma:lang="en-US" emma:confidence="0">
                  <emma:literal>I</emma:literal>
                </emma:interpretation>
                <emma:interpretation id="interp3" emma:lang="en-US" emma:confidence="0">
                  <emma:literal>l</emma:literal>
                </emma:interpretation>
                <emma:interpretation id="interp4" emma:lang="en-US" emma:confidence="0">
                  <emma:literal>.</emma:literal>
                </emma:interpretation>
              </emma:one-of>
            </emma:emma>
          </inkml:annotationXML>
          <inkml:trace contextRef="#ctx0" brushRef="#br0">345 1217 3456,'0'0'1312,"0"0"-704,0-27-640,0 27 224,0 0-128,0 0-64,0 0-416,0 0-192,0 27-832,0-27-256</inkml:trace>
        </inkml:traceGroup>
        <inkml:traceGroup>
          <inkml:annotationXML>
            <emma:emma xmlns:emma="http://www.w3.org/2003/04/emma" version="1.0">
              <emma:interpretation id="{DFD0B604-5516-40EE-AF13-BA92BDCFC17B}" emma:medium="tactile" emma:mode="ink">
                <msink:context xmlns:msink="http://schemas.microsoft.com/ink/2010/main" type="inkWord" rotatedBoundingBox="674,1018 815,1265 792,1278 651,1031"/>
              </emma:interpretation>
              <emma:one-of disjunction-type="recognition" id="oneOf1">
                <emma:interpretation id="interp5" emma:lang="en-US" emma:confidence="0">
                  <emma:literal>!</emma:literal>
                </emma:interpretation>
                <emma:interpretation id="interp6" emma:lang="en-US" emma:confidence="0">
                  <emma:literal>:</emma:literal>
                </emma:interpretation>
                <emma:interpretation id="interp7" emma:lang="en-US" emma:confidence="0">
                  <emma:literal>Y</emma:literal>
                </emma:interpretation>
                <emma:interpretation id="interp8" emma:lang="en-US" emma:confidence="0">
                  <emma:literal>1</emma:literal>
                </emma:interpretation>
                <emma:interpretation id="interp9" emma:lang="en-US" emma:confidence="0">
                  <emma:literal>¥</emma:literal>
                </emma:interpretation>
              </emma:one-of>
            </emma:emma>
          </inkml:annotationXML>
          <inkml:trace contextRef="#ctx0" brushRef="#br0" timeOffset="-10033.82">675 1046 3456,'0'-27'1312,"0"54"-704,0-14 0,14 0 512,-14-13-192,0 0 0</inkml:trace>
          <inkml:trace contextRef="#ctx0" brushRef="#br0" timeOffset="-10032.82">688 1072 10080,'0'0'768,"0"0"-128,13 14-224,-13-1-256,14 0-160,-14-1-96,0-12 64,0 13-1984,0-26-1120</inkml:trace>
          <inkml:trace contextRef="#ctx0" brushRef="#br0" timeOffset="922">781 1257 10112,'26'0'3776,"-26"0"-2048,0 13-2016,0-13 576,0 0-288,0-13 0,-12 13-576,12 0-256,-14-13 448,14 0-1536,-13-1-512</inkml:trace>
        </inkml:traceGroup>
        <inkml:traceGroup>
          <inkml:annotationXML>
            <emma:emma xmlns:emma="http://www.w3.org/2003/04/emma" version="1.0">
              <emma:interpretation id="{D55705A7-D521-4AE1-AB7E-EC6BBAD30A27}" emma:medium="tactile" emma:mode="ink">
                <msink:context xmlns:msink="http://schemas.microsoft.com/ink/2010/main" type="inkWord" rotatedBoundingBox="883,948 911,1026 899,1031 870,952"/>
              </emma:interpretation>
              <emma:one-of disjunction-type="recognition" id="oneOf2">
                <emma:interpretation id="interp10" emma:lang="en-US" emma:confidence="0">
                  <emma:literal>j</emma:literal>
                </emma:interpretation>
                <emma:interpretation id="interp11" emma:lang="en-US" emma:confidence="0">
                  <emma:literal>i</emma:literal>
                </emma:interpretation>
                <emma:interpretation id="interp12" emma:lang="en-US" emma:confidence="0">
                  <emma:literal>^</emma:literal>
                </emma:interpretation>
                <emma:interpretation id="interp13" emma:lang="en-US" emma:confidence="0">
                  <emma:literal>;</emma:literal>
                </emma:interpretation>
                <emma:interpretation id="interp14" emma:lang="en-US" emma:confidence="0">
                  <emma:literal>Y</emma:literal>
                </emma:interpretation>
              </emma:one-of>
            </emma:emma>
          </inkml:annotationXML>
          <inkml:trace contextRef="#ctx0" brushRef="#br0" timeOffset="-10031.82">900 1032 6016,'0'-26'2272,"0"12"-1216,-13 14-1088,13 0 384,0 0-160,0-13-32</inkml:trace>
          <inkml:trace contextRef="#ctx0" brushRef="#br0" timeOffset="-10030.82">874 953 5120,'0'0'2016,"0"0"-1088,0 0-3264</inkml:trace>
        </inkml:traceGroup>
      </inkml:traceGroup>
    </inkml:traceGroup>
  </inkml:traceGroup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18-06-05T13:46:52.983"/>
    </inkml:context>
    <inkml:brush xml:id="br0">
      <inkml:brushProperty name="width" value="0.025" units="cm"/>
      <inkml:brushProperty name="height" value="0.025" units="cm"/>
    </inkml:brush>
  </inkml:definitions>
  <inkml:trace contextRef="#ctx0" brushRef="#br0">345 1217 3456,'0'0'1312,"0"0"-704,0-27-640,0 27 224,0 0-128,0 0-64,0 0-416,0 0-192,0 27-832,0-27-256</inkml:trace>
  <inkml:trace contextRef="#ctx0" brushRef="#br0" timeOffset="1">675 1046 3456,'0'-27'1312,"0"54"-704,0-14 0,14 0 512,-14-13-192,0 0 0</inkml:trace>
  <inkml:trace contextRef="#ctx0" brushRef="#br0" timeOffset="2">688 1072 10080,'0'0'768,"0"0"-128,13 14-224,-13-1-256,14 0-160,-14-1-96,0-12 64,0 13-1984,0-26-1120</inkml:trace>
  <inkml:trace contextRef="#ctx0" brushRef="#br0" timeOffset="3">781 1257 10112,'26'0'3776,"-26"0"-2048,0 13-2016,0-13 576,0 0-288,0-13 0,-12 13-576,12 0-256,-14-13 448,14 0-1536,-13-1-512</inkml:trace>
  <inkml:trace contextRef="#ctx0" brushRef="#br0" timeOffset="4">900 1032 6016,'0'-26'2272,"0"12"-1216,-13 14-1088,13 0 384,0 0-160,0-13-32</inkml:trace>
  <inkml:trace contextRef="#ctx0" brushRef="#br0" timeOffset="5">874 953 5120,'0'0'2016,"0"0"-1088,0 0-3264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19-09-06T12:26:11.851"/>
    </inkml:context>
    <inkml:brush xml:id="br0">
      <inkml:brushProperty name="width" value="0.025" units="cm"/>
      <inkml:brushProperty name="height" value="0.025" units="cm"/>
    </inkml:brush>
  </inkml:definitions>
  <inkml:trace contextRef="#ctx0" brushRef="#br0">345 1217 3456,'0'0'1312,"0"0"-704,0-27-640,0 27 224,0 0-128,0 0-64,0 0-416,0 0-192,0 27-832,0-27-256</inkml:trace>
  <inkml:trace contextRef="#ctx0" brushRef="#br0" timeOffset="1">675 1046 3456,'0'-27'1312,"0"54"-704,0-14 0,14 0 512,-14-13-192,0 0 0</inkml:trace>
  <inkml:trace contextRef="#ctx0" brushRef="#br0" timeOffset="2">688 1072 10080,'0'0'768,"0"0"-128,13 14-224,-13-1-256,14 0-160,-14-1-96,0-12 64,0 13-1984,0-26-1120</inkml:trace>
  <inkml:trace contextRef="#ctx0" brushRef="#br0" timeOffset="3">781 1257 10112,'26'0'3776,"-26"0"-2048,0 13-2016,0-13 576,0 0-288,0-13 0,-12 13-576,12 0-256,-14-13 448,14 0-1536,-13-1-512</inkml:trace>
  <inkml:trace contextRef="#ctx0" brushRef="#br0" timeOffset="4">900 1032 6016,'0'-26'2272,"0"12"-1216,-13 14-1088,13 0 384,0 0-160,0-13-32</inkml:trace>
  <inkml:trace contextRef="#ctx0" brushRef="#br0" timeOffset="5">874 953 5120,'0'0'2016,"0"0"-1088,0 0-3264</inkml:trace>
</inkml:ink>
</file>

<file path=xl/persons/person.xml><?xml version="1.0" encoding="utf-8"?>
<personList xmlns="http://schemas.microsoft.com/office/spreadsheetml/2018/threadedcomments" xmlns:x="http://schemas.openxmlformats.org/spreadsheetml/2006/main">
  <person displayName="Stephen H. Burns" id="{E753DA6B-A82A-4E32-AED4-DE8323F952BA}" userId="S::sburns@yorkmaine.org::175274f4-24ad-4567-8e85-9663c2de099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1" dT="2019-08-13T17:21:50.47" personId="{E753DA6B-A82A-4E32-AED4-DE8323F952BA}" id="{FD6D429B-199B-4423-9288-968247B58A3E}">
    <text>Grant House, Goodrich Park Barn, Senior Center, Bog Road Maint Facility, Gift Shop, Summit Lodge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47"/>
  <sheetViews>
    <sheetView tabSelected="1" zoomScaleNormal="100" workbookViewId="0"/>
  </sheetViews>
  <sheetFormatPr defaultRowHeight="15" x14ac:dyDescent="0.25"/>
  <cols>
    <col min="1" max="1" width="59.7109375" customWidth="1"/>
    <col min="2" max="2" width="9.5703125" customWidth="1"/>
    <col min="3" max="3" width="20.7109375" customWidth="1"/>
    <col min="4" max="4" width="20.5703125" customWidth="1"/>
    <col min="5" max="5" width="10.5703125" customWidth="1"/>
    <col min="6" max="6" width="15.5703125" style="72" customWidth="1"/>
    <col min="7" max="7" width="18.7109375" customWidth="1"/>
    <col min="8" max="8" width="18.5703125" style="72" customWidth="1"/>
    <col min="9" max="9" width="9.5703125" customWidth="1"/>
    <col min="10" max="10" width="15.5703125" style="72" customWidth="1"/>
    <col min="11" max="32" width="15.5703125" customWidth="1"/>
  </cols>
  <sheetData>
    <row r="1" spans="1:32" s="31" customFormat="1" ht="23.25" x14ac:dyDescent="0.35">
      <c r="A1" s="41" t="s">
        <v>211</v>
      </c>
      <c r="F1" s="71"/>
      <c r="H1" s="71"/>
      <c r="J1" s="71"/>
    </row>
    <row r="2" spans="1:32" ht="23.25" x14ac:dyDescent="0.35">
      <c r="A2" s="4" t="s">
        <v>75</v>
      </c>
      <c r="D2" s="163" t="s">
        <v>158</v>
      </c>
      <c r="E2" s="158"/>
      <c r="F2" s="165"/>
    </row>
    <row r="3" spans="1:32" ht="15.75" x14ac:dyDescent="0.25">
      <c r="A3" s="90">
        <v>44026</v>
      </c>
      <c r="D3" s="152" t="s">
        <v>159</v>
      </c>
      <c r="E3" s="153"/>
      <c r="F3" s="166">
        <v>0.03</v>
      </c>
    </row>
    <row r="4" spans="1:32" x14ac:dyDescent="0.25">
      <c r="D4" s="160" t="s">
        <v>160</v>
      </c>
      <c r="E4" s="161"/>
      <c r="F4" s="167">
        <v>2.5000000000000001E-2</v>
      </c>
      <c r="M4" s="22"/>
      <c r="N4" s="2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</row>
    <row r="5" spans="1:32" ht="45.75" customHeight="1" thickBot="1" x14ac:dyDescent="0.3">
      <c r="A5" s="14"/>
      <c r="B5" s="14"/>
      <c r="C5" s="14"/>
      <c r="D5" s="14"/>
      <c r="E5" s="14"/>
      <c r="F5" s="73"/>
      <c r="G5" s="14"/>
      <c r="H5" s="73"/>
      <c r="I5" s="14"/>
      <c r="J5" s="79"/>
      <c r="K5" s="63"/>
      <c r="L5" s="63" t="s">
        <v>28</v>
      </c>
      <c r="M5" s="36"/>
      <c r="N5" s="36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</row>
    <row r="6" spans="1:32" s="38" customFormat="1" ht="34.9" customHeight="1" thickBot="1" x14ac:dyDescent="0.3">
      <c r="A6" s="69" t="s">
        <v>12</v>
      </c>
      <c r="B6" s="70" t="s">
        <v>29</v>
      </c>
      <c r="C6" s="70" t="s">
        <v>18</v>
      </c>
      <c r="D6" s="70" t="s">
        <v>19</v>
      </c>
      <c r="E6" s="70" t="s">
        <v>15</v>
      </c>
      <c r="F6" s="74" t="s">
        <v>6</v>
      </c>
      <c r="G6" s="70" t="s">
        <v>0</v>
      </c>
      <c r="H6" s="74" t="s">
        <v>71</v>
      </c>
      <c r="I6" s="70" t="s">
        <v>5</v>
      </c>
      <c r="J6" s="74" t="s">
        <v>1</v>
      </c>
      <c r="K6" s="70" t="s">
        <v>2</v>
      </c>
      <c r="L6" s="70" t="s">
        <v>3</v>
      </c>
      <c r="M6" s="37" t="s">
        <v>33</v>
      </c>
      <c r="N6" s="37" t="s">
        <v>34</v>
      </c>
      <c r="O6" s="34" t="s">
        <v>35</v>
      </c>
      <c r="P6" s="34" t="s">
        <v>36</v>
      </c>
      <c r="Q6" s="34" t="s">
        <v>37</v>
      </c>
      <c r="R6" s="34" t="s">
        <v>38</v>
      </c>
      <c r="S6" s="34" t="s">
        <v>39</v>
      </c>
      <c r="T6" s="34" t="s">
        <v>40</v>
      </c>
      <c r="U6" s="34" t="s">
        <v>41</v>
      </c>
      <c r="V6" s="34" t="s">
        <v>42</v>
      </c>
      <c r="W6" s="34" t="s">
        <v>43</v>
      </c>
      <c r="X6" s="34" t="s">
        <v>44</v>
      </c>
      <c r="Y6" s="34" t="s">
        <v>45</v>
      </c>
      <c r="Z6" s="34" t="s">
        <v>46</v>
      </c>
      <c r="AA6" s="34" t="s">
        <v>47</v>
      </c>
      <c r="AB6" s="34" t="s">
        <v>48</v>
      </c>
      <c r="AC6" s="34" t="s">
        <v>49</v>
      </c>
      <c r="AD6" s="34" t="s">
        <v>50</v>
      </c>
      <c r="AE6" s="34" t="s">
        <v>51</v>
      </c>
      <c r="AF6" s="34" t="s">
        <v>59</v>
      </c>
    </row>
    <row r="7" spans="1:32" s="1" customFormat="1" ht="12.75" x14ac:dyDescent="0.2">
      <c r="A7" s="2" t="s">
        <v>25</v>
      </c>
      <c r="B7" s="6">
        <v>21</v>
      </c>
      <c r="C7" s="6" t="s">
        <v>9</v>
      </c>
      <c r="D7" s="6" t="s">
        <v>24</v>
      </c>
      <c r="E7" s="6">
        <v>1</v>
      </c>
      <c r="F7" s="116">
        <v>130000</v>
      </c>
      <c r="G7" s="6" t="s">
        <v>163</v>
      </c>
      <c r="H7" s="111">
        <f t="shared" ref="H7:H27" si="0">SUM(J7:AF7)-F7</f>
        <v>0</v>
      </c>
      <c r="I7" s="5" t="s">
        <v>27</v>
      </c>
      <c r="J7" s="91">
        <f>F7</f>
        <v>130000</v>
      </c>
      <c r="K7" s="92">
        <v>0</v>
      </c>
      <c r="L7" s="92">
        <v>0</v>
      </c>
      <c r="M7" s="92">
        <v>0</v>
      </c>
      <c r="N7" s="92">
        <v>0</v>
      </c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4"/>
      <c r="AA7" s="104"/>
      <c r="AB7" s="104"/>
      <c r="AC7" s="104"/>
      <c r="AD7" s="104"/>
      <c r="AE7" s="104"/>
      <c r="AF7" s="104"/>
    </row>
    <row r="8" spans="1:32" s="1" customFormat="1" ht="12.75" x14ac:dyDescent="0.2">
      <c r="A8" s="2" t="s">
        <v>106</v>
      </c>
      <c r="B8" s="6">
        <v>21</v>
      </c>
      <c r="C8" s="6" t="s">
        <v>96</v>
      </c>
      <c r="D8" s="6" t="s">
        <v>21</v>
      </c>
      <c r="E8" s="6">
        <v>2</v>
      </c>
      <c r="F8" s="116">
        <v>102000</v>
      </c>
      <c r="G8" s="6" t="s">
        <v>209</v>
      </c>
      <c r="H8" s="111">
        <f t="shared" si="0"/>
        <v>0</v>
      </c>
      <c r="I8" s="5" t="s">
        <v>27</v>
      </c>
      <c r="J8" s="91">
        <f>F8</f>
        <v>102000</v>
      </c>
      <c r="K8" s="93">
        <v>0</v>
      </c>
      <c r="L8" s="94">
        <v>0</v>
      </c>
      <c r="M8" s="94">
        <v>0</v>
      </c>
      <c r="N8" s="94">
        <v>0</v>
      </c>
      <c r="O8" s="104"/>
      <c r="P8" s="104"/>
      <c r="Q8" s="104"/>
      <c r="R8" s="104"/>
      <c r="S8" s="104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4"/>
      <c r="AF8" s="104"/>
    </row>
    <row r="9" spans="1:32" s="1" customFormat="1" ht="12.75" x14ac:dyDescent="0.2">
      <c r="A9" s="2" t="s">
        <v>16</v>
      </c>
      <c r="B9" s="6">
        <v>21</v>
      </c>
      <c r="C9" s="6" t="s">
        <v>10</v>
      </c>
      <c r="D9" s="6" t="s">
        <v>24</v>
      </c>
      <c r="E9" s="6">
        <v>3</v>
      </c>
      <c r="F9" s="116">
        <v>175000</v>
      </c>
      <c r="G9" s="6" t="s">
        <v>4</v>
      </c>
      <c r="H9" s="111">
        <f t="shared" si="0"/>
        <v>24062.5</v>
      </c>
      <c r="I9" s="5">
        <v>10</v>
      </c>
      <c r="J9" s="91">
        <v>0</v>
      </c>
      <c r="K9" s="92">
        <f>($F9/$I9)+($F9*($I9-0)/$I9*$F$4)</f>
        <v>21875</v>
      </c>
      <c r="L9" s="92">
        <f>($F9/$I9)+($F9*($I9-1)/$I9*$F$4)</f>
        <v>21437.5</v>
      </c>
      <c r="M9" s="92">
        <f>($F9/$I9)+($F9*($I9-2)/$I9*$F$4)</f>
        <v>21000</v>
      </c>
      <c r="N9" s="92">
        <f>($F9/$I9)+($F9*($I9-3)/$I9*$F$4)</f>
        <v>20562.5</v>
      </c>
      <c r="O9" s="103">
        <f>($F9/$I9)+($F9*($I9-4)/$I9*$F$4)</f>
        <v>20125</v>
      </c>
      <c r="P9" s="103">
        <f>($F9/$I9)+($F9*($I9-5)/$I9*$F$4)</f>
        <v>19687.5</v>
      </c>
      <c r="Q9" s="103">
        <f>($F9/$I9)+($F9*($I9-6)/$I9*$F$4)</f>
        <v>19250</v>
      </c>
      <c r="R9" s="103">
        <f>($F9/$I9)+($F9*($I9-7)/$I9*$F$4)</f>
        <v>18812.5</v>
      </c>
      <c r="S9" s="103">
        <f>($F9/$I9)+($F9*($I9-8)/$I9*$F$4)</f>
        <v>18375</v>
      </c>
      <c r="T9" s="103">
        <f>($F9/$I9)+($F9*($I9-9)/$I9*$F$4)</f>
        <v>17937.5</v>
      </c>
      <c r="U9" s="103">
        <v>0</v>
      </c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</row>
    <row r="10" spans="1:32" s="1" customFormat="1" ht="12.75" x14ac:dyDescent="0.2">
      <c r="A10" s="2" t="s">
        <v>129</v>
      </c>
      <c r="B10" s="6">
        <v>21</v>
      </c>
      <c r="C10" s="6" t="s">
        <v>23</v>
      </c>
      <c r="D10" s="6" t="s">
        <v>20</v>
      </c>
      <c r="E10" s="6">
        <v>4</v>
      </c>
      <c r="F10" s="116">
        <v>400000</v>
      </c>
      <c r="G10" s="6" t="s">
        <v>4</v>
      </c>
      <c r="H10" s="111">
        <f t="shared" si="0"/>
        <v>55000</v>
      </c>
      <c r="I10" s="5">
        <v>10</v>
      </c>
      <c r="J10" s="91">
        <v>0</v>
      </c>
      <c r="K10" s="92">
        <f>($F10/$I10)+($F10*($I10-0)/$I10*$F$4)</f>
        <v>50000</v>
      </c>
      <c r="L10" s="92">
        <f>($F10/$I10)+($F10*($I10-1)/$I10*$F$4)</f>
        <v>49000</v>
      </c>
      <c r="M10" s="92">
        <f>($F10/$I10)+($F10*($I10-2)/$I10*$F$4)</f>
        <v>48000</v>
      </c>
      <c r="N10" s="92">
        <f>($F10/$I10)+($F10*($I10-3)/$I10*$F$4)</f>
        <v>47000</v>
      </c>
      <c r="O10" s="103">
        <f>($F10/$I10)+($F10*($I10-4)/$I10*$F$4)</f>
        <v>46000</v>
      </c>
      <c r="P10" s="103">
        <f>($F10/$I10)+($F10*($I10-5)/$I10*$F$4)</f>
        <v>45000</v>
      </c>
      <c r="Q10" s="103">
        <f>($F10/$I10)+($F10*($I10-6)/$I10*$F$4)</f>
        <v>44000</v>
      </c>
      <c r="R10" s="103">
        <f>($F10/$I10)+($F10*($I10-7)/$I10*$F$4)</f>
        <v>43000</v>
      </c>
      <c r="S10" s="103">
        <f>($F10/$I10)+($F10*($I10-8)/$I10*$F$4)</f>
        <v>42000</v>
      </c>
      <c r="T10" s="103">
        <f>($F10/$I10)+($F10*($I10-9)/$I10*$F$4)</f>
        <v>41000</v>
      </c>
      <c r="U10" s="103">
        <v>0</v>
      </c>
      <c r="V10" s="103"/>
      <c r="W10" s="103"/>
      <c r="X10" s="103"/>
      <c r="Y10" s="103"/>
      <c r="Z10" s="103"/>
      <c r="AA10" s="103"/>
      <c r="AB10" s="103"/>
      <c r="AC10" s="103"/>
      <c r="AD10" s="104"/>
      <c r="AE10" s="104"/>
      <c r="AF10" s="104"/>
    </row>
    <row r="11" spans="1:32" s="1" customFormat="1" ht="12.75" x14ac:dyDescent="0.2">
      <c r="A11" s="2" t="s">
        <v>161</v>
      </c>
      <c r="B11" s="6">
        <v>21</v>
      </c>
      <c r="C11" s="6" t="s">
        <v>10</v>
      </c>
      <c r="D11" s="6" t="s">
        <v>26</v>
      </c>
      <c r="E11" s="6">
        <v>5</v>
      </c>
      <c r="F11" s="116">
        <v>1000000</v>
      </c>
      <c r="G11" s="6" t="s">
        <v>4</v>
      </c>
      <c r="H11" s="111">
        <f t="shared" si="0"/>
        <v>262500</v>
      </c>
      <c r="I11" s="5">
        <v>20</v>
      </c>
      <c r="J11" s="91">
        <v>0</v>
      </c>
      <c r="K11" s="92">
        <f>($F11/$I11)+($F11*($I11-0)/$I11*$F$4)</f>
        <v>75000</v>
      </c>
      <c r="L11" s="92">
        <f>($F11/$I11)+($F11*($I11-1)/$I11*$F$4)</f>
        <v>73750</v>
      </c>
      <c r="M11" s="92">
        <f>($F11/$I11)+($F11*($I11-2)/$I11*$F$4)</f>
        <v>72500</v>
      </c>
      <c r="N11" s="92">
        <f>($F11/$I11)+($F11*($I11-3)/$I11*$F$4)</f>
        <v>71250</v>
      </c>
      <c r="O11" s="103">
        <f>($F11/$I11)+($F11*($I11-4)/$I11*$F$4)</f>
        <v>70000</v>
      </c>
      <c r="P11" s="103">
        <f>($F11/$I11)+($F11*($I11-5)/$I11*$F$4)</f>
        <v>68750</v>
      </c>
      <c r="Q11" s="103">
        <f>($F11/$I11)+($F11*($I11-6)/$I11*$F$4)</f>
        <v>67500</v>
      </c>
      <c r="R11" s="103">
        <f>($F11/$I11)+($F11*($I11-7)/$I11*$F$4)</f>
        <v>66250</v>
      </c>
      <c r="S11" s="103">
        <f>($F11/$I11)+($F11*($I11-8)/$I11*$F$4)</f>
        <v>65000</v>
      </c>
      <c r="T11" s="103">
        <f>($F11/$I11)+($F11*($I11-9)/$I11*$F$4)</f>
        <v>63750</v>
      </c>
      <c r="U11" s="103">
        <f>($F11/$I11)+($F11*($I11-10)/$I11*$F$4)</f>
        <v>62500</v>
      </c>
      <c r="V11" s="103">
        <f>($F11/$I11)+($F11*($I11-11)/$I11*$F$4)</f>
        <v>61250</v>
      </c>
      <c r="W11" s="103">
        <f>($F11/$I11)+($F11*($I11-12)/$I11*$F$4)</f>
        <v>60000</v>
      </c>
      <c r="X11" s="103">
        <f>($F11/$I11)+($F11*($I11-13)/$I11*$F$4)</f>
        <v>58750</v>
      </c>
      <c r="Y11" s="103">
        <f>($F11/$I11)+($F11*($I11-14)/$I11*$F$4)</f>
        <v>57500</v>
      </c>
      <c r="Z11" s="103">
        <f>($F11/$I11)+($F11*($I11-15)/$I11*$F$4)</f>
        <v>56250</v>
      </c>
      <c r="AA11" s="103">
        <f>($F11/$I11)+($F11*($I11-16)/$I11*$F$4)</f>
        <v>55000</v>
      </c>
      <c r="AB11" s="103">
        <f>($F11/$I11)+($F11*($I11-17)/$I11*$F$4)</f>
        <v>53750</v>
      </c>
      <c r="AC11" s="103">
        <f>($F11/$I11)+($F11*($I11-18)/$I11*$F$4)</f>
        <v>52500</v>
      </c>
      <c r="AD11" s="103">
        <f>($F11/$I11)+($F11*($I11-19)/$I11*$F$4)</f>
        <v>51250</v>
      </c>
      <c r="AE11" s="104">
        <v>0</v>
      </c>
      <c r="AF11" s="104"/>
    </row>
    <row r="12" spans="1:32" s="1" customFormat="1" ht="12.75" x14ac:dyDescent="0.2">
      <c r="A12" s="2" t="s">
        <v>171</v>
      </c>
      <c r="B12" s="6">
        <v>21</v>
      </c>
      <c r="C12" s="6" t="s">
        <v>10</v>
      </c>
      <c r="D12" s="6" t="s">
        <v>24</v>
      </c>
      <c r="E12" s="6">
        <v>6</v>
      </c>
      <c r="F12" s="116">
        <v>75000</v>
      </c>
      <c r="G12" s="6" t="s">
        <v>4</v>
      </c>
      <c r="H12" s="111">
        <f t="shared" si="0"/>
        <v>5625</v>
      </c>
      <c r="I12" s="5">
        <v>5</v>
      </c>
      <c r="J12" s="91">
        <v>0</v>
      </c>
      <c r="K12" s="92">
        <f>($F12/$I12)+($F12*($I12-0)/$I12*$F$4)</f>
        <v>16875</v>
      </c>
      <c r="L12" s="92">
        <f>($F12/$I12)+($F12*($I12-1)/$I12*$F$4)</f>
        <v>16500</v>
      </c>
      <c r="M12" s="92">
        <f>($F12/$I12)+($F12*($I12-2)/$I12*$F$4)</f>
        <v>16125</v>
      </c>
      <c r="N12" s="92">
        <f>($F12/$I12)+($F12*($I12-3)/$I12*$F$4)</f>
        <v>15750</v>
      </c>
      <c r="O12" s="103">
        <f>($F12/$I12)+($F12*($I12-4)/$I12*$F$4)</f>
        <v>15375</v>
      </c>
      <c r="P12" s="103">
        <v>0</v>
      </c>
      <c r="Q12" s="103"/>
      <c r="R12" s="103"/>
      <c r="S12" s="103"/>
      <c r="T12" s="103"/>
      <c r="U12" s="103"/>
      <c r="V12" s="103"/>
      <c r="W12" s="103"/>
      <c r="X12" s="103"/>
      <c r="Y12" s="104"/>
      <c r="Z12" s="104"/>
      <c r="AA12" s="104"/>
      <c r="AB12" s="104"/>
      <c r="AC12" s="104"/>
      <c r="AD12" s="104"/>
      <c r="AE12" s="104"/>
      <c r="AF12" s="104"/>
    </row>
    <row r="13" spans="1:32" s="1" customFormat="1" ht="12.75" x14ac:dyDescent="0.2">
      <c r="A13" s="2" t="s">
        <v>124</v>
      </c>
      <c r="B13" s="6">
        <v>21</v>
      </c>
      <c r="C13" s="6" t="s">
        <v>9</v>
      </c>
      <c r="D13" s="6" t="s">
        <v>21</v>
      </c>
      <c r="E13" s="6">
        <v>7</v>
      </c>
      <c r="F13" s="116">
        <v>80000</v>
      </c>
      <c r="G13" s="6" t="s">
        <v>4</v>
      </c>
      <c r="H13" s="111">
        <f t="shared" si="0"/>
        <v>6000</v>
      </c>
      <c r="I13" s="5">
        <v>5</v>
      </c>
      <c r="J13" s="91">
        <v>0</v>
      </c>
      <c r="K13" s="92">
        <f>($F13/$I13)+($F13*($I13-0)/$I13*$F$4)</f>
        <v>18000</v>
      </c>
      <c r="L13" s="92">
        <f>($F13/$I13)+($F13*($I13-1)/$I13*$F$4)</f>
        <v>17600</v>
      </c>
      <c r="M13" s="92">
        <f>($F13/$I13)+($F13*($I13-2)/$I13*$F$4)</f>
        <v>17200</v>
      </c>
      <c r="N13" s="92">
        <f>($F13/$I13)+($F13*($I13-3)/$I13*$F$4)</f>
        <v>16800</v>
      </c>
      <c r="O13" s="103">
        <f>($F13/$I13)+($F13*($I13-4)/$I13*$F$4)</f>
        <v>16400</v>
      </c>
      <c r="P13" s="103">
        <v>0</v>
      </c>
      <c r="Q13" s="103"/>
      <c r="R13" s="103"/>
      <c r="S13" s="103"/>
      <c r="T13" s="103"/>
      <c r="U13" s="103"/>
      <c r="V13" s="103"/>
      <c r="W13" s="103"/>
      <c r="X13" s="103"/>
      <c r="Y13" s="104"/>
      <c r="Z13" s="104"/>
      <c r="AA13" s="104"/>
      <c r="AB13" s="104"/>
      <c r="AC13" s="104"/>
      <c r="AD13" s="104"/>
      <c r="AE13" s="104"/>
      <c r="AF13" s="104"/>
    </row>
    <row r="14" spans="1:32" s="1" customFormat="1" ht="12.75" x14ac:dyDescent="0.2">
      <c r="A14" s="2" t="s">
        <v>128</v>
      </c>
      <c r="B14" s="6">
        <v>21</v>
      </c>
      <c r="C14" s="6" t="s">
        <v>10</v>
      </c>
      <c r="D14" s="6" t="s">
        <v>26</v>
      </c>
      <c r="E14" s="6">
        <v>8</v>
      </c>
      <c r="F14" s="116">
        <v>75000</v>
      </c>
      <c r="G14" s="6" t="s">
        <v>209</v>
      </c>
      <c r="H14" s="111">
        <f t="shared" si="0"/>
        <v>0</v>
      </c>
      <c r="I14" s="5" t="s">
        <v>27</v>
      </c>
      <c r="J14" s="91">
        <f>F14</f>
        <v>75000</v>
      </c>
      <c r="K14" s="93">
        <v>0</v>
      </c>
      <c r="L14" s="94">
        <v>0</v>
      </c>
      <c r="M14" s="94">
        <v>0</v>
      </c>
      <c r="N14" s="94">
        <v>0</v>
      </c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</row>
    <row r="15" spans="1:32" s="1" customFormat="1" ht="12.75" x14ac:dyDescent="0.2">
      <c r="A15" s="2" t="s">
        <v>208</v>
      </c>
      <c r="B15" s="6">
        <v>21</v>
      </c>
      <c r="C15" s="6" t="s">
        <v>10</v>
      </c>
      <c r="D15" s="6" t="s">
        <v>24</v>
      </c>
      <c r="E15" s="6">
        <v>9</v>
      </c>
      <c r="F15" s="116">
        <v>160000</v>
      </c>
      <c r="G15" s="6" t="s">
        <v>4</v>
      </c>
      <c r="H15" s="111">
        <f t="shared" ref="H15" si="1">SUM(J15:AF15)-F15</f>
        <v>12000</v>
      </c>
      <c r="I15" s="5">
        <v>5</v>
      </c>
      <c r="J15" s="91">
        <v>0</v>
      </c>
      <c r="K15" s="92">
        <f>($F15/$I15)+($F15*($I15-0)/$I15*$F$4)</f>
        <v>36000</v>
      </c>
      <c r="L15" s="92">
        <f>($F15/$I15)+($F15*($I15-1)/$I15*$F$4)</f>
        <v>35200</v>
      </c>
      <c r="M15" s="92">
        <f>($F15/$I15)+($F15*($I15-2)/$I15*$F$4)</f>
        <v>34400</v>
      </c>
      <c r="N15" s="92">
        <f>($F15/$I15)+($F15*($I15-3)/$I15*$F$4)</f>
        <v>33600</v>
      </c>
      <c r="O15" s="103">
        <f>($F15/$I15)+($F15*($I15-4)/$I15*$F$4)</f>
        <v>32800</v>
      </c>
      <c r="P15" s="103">
        <v>0</v>
      </c>
      <c r="Q15" s="103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</row>
    <row r="16" spans="1:32" s="1" customFormat="1" ht="12.75" x14ac:dyDescent="0.2">
      <c r="A16" s="2" t="s">
        <v>127</v>
      </c>
      <c r="B16" s="6">
        <v>21</v>
      </c>
      <c r="C16" s="6" t="s">
        <v>10</v>
      </c>
      <c r="D16" s="6" t="s">
        <v>26</v>
      </c>
      <c r="E16" s="6">
        <v>10</v>
      </c>
      <c r="F16" s="116">
        <v>150000</v>
      </c>
      <c r="G16" s="6" t="s">
        <v>4</v>
      </c>
      <c r="H16" s="111">
        <f t="shared" si="0"/>
        <v>20625</v>
      </c>
      <c r="I16" s="5">
        <v>10</v>
      </c>
      <c r="J16" s="91">
        <v>0</v>
      </c>
      <c r="K16" s="92">
        <f t="shared" ref="K16:K19" si="2">($F16/$I16)+($F16*($I16-0)/$I16*$F$4)</f>
        <v>18750</v>
      </c>
      <c r="L16" s="92">
        <f t="shared" ref="L16:L19" si="3">($F16/$I16)+($F16*($I16-1)/$I16*$F$4)</f>
        <v>18375</v>
      </c>
      <c r="M16" s="92">
        <f t="shared" ref="M16:M19" si="4">($F16/$I16)+($F16*($I16-2)/$I16*$F$4)</f>
        <v>18000</v>
      </c>
      <c r="N16" s="92">
        <f>($F16/$I16)+($F16*($I16-3)/$I16*$F$4)</f>
        <v>17625</v>
      </c>
      <c r="O16" s="103">
        <f>($F16/$I16)+($F16*($I16-4)/$I16*$F$4)</f>
        <v>17250</v>
      </c>
      <c r="P16" s="103">
        <f>($F16/$I16)+($F16*($I16-5)/$I16*$F$4)</f>
        <v>16875</v>
      </c>
      <c r="Q16" s="103">
        <f>($F16/$I16)+($F16*($I16-6)/$I16*$F$4)</f>
        <v>16500</v>
      </c>
      <c r="R16" s="103">
        <f>($F16/$I16)+($F16*($I16-7)/$I16*$F$4)</f>
        <v>16125</v>
      </c>
      <c r="S16" s="103">
        <f>($F16/$I16)+($F16*($I16-8)/$I16*$F$4)</f>
        <v>15750</v>
      </c>
      <c r="T16" s="103">
        <f>($F16/$I16)+($F16*($I16-9)/$I16*$F$4)</f>
        <v>15375</v>
      </c>
      <c r="U16" s="103">
        <v>0</v>
      </c>
      <c r="V16" s="103"/>
      <c r="W16" s="103"/>
      <c r="X16" s="103"/>
      <c r="Y16" s="104"/>
      <c r="Z16" s="104"/>
      <c r="AA16" s="104"/>
      <c r="AB16" s="104"/>
      <c r="AC16" s="104"/>
      <c r="AD16" s="104"/>
      <c r="AE16" s="104"/>
      <c r="AF16" s="104"/>
    </row>
    <row r="17" spans="1:32" s="1" customFormat="1" ht="12.75" x14ac:dyDescent="0.2">
      <c r="A17" s="2" t="s">
        <v>130</v>
      </c>
      <c r="B17" s="6">
        <v>21</v>
      </c>
      <c r="C17" s="6" t="s">
        <v>23</v>
      </c>
      <c r="D17" s="6" t="s">
        <v>24</v>
      </c>
      <c r="E17" s="6">
        <v>11</v>
      </c>
      <c r="F17" s="116">
        <v>45000</v>
      </c>
      <c r="G17" s="6" t="s">
        <v>4</v>
      </c>
      <c r="H17" s="111">
        <f t="shared" ref="H17" si="5">SUM(J17:AF17)-F17</f>
        <v>3375</v>
      </c>
      <c r="I17" s="5">
        <v>5</v>
      </c>
      <c r="J17" s="91">
        <v>0</v>
      </c>
      <c r="K17" s="92">
        <f>($F17/$I17)+($F17*($I17-0)/$I17*$F$4)</f>
        <v>10125</v>
      </c>
      <c r="L17" s="92">
        <f>($F17/$I17)+($F17*($I17-1)/$I17*$F$4)</f>
        <v>9900</v>
      </c>
      <c r="M17" s="92">
        <f>($F17/$I17)+($F17*($I17-2)/$I17*$F$4)</f>
        <v>9675</v>
      </c>
      <c r="N17" s="92">
        <f>($F17/$I17)+($F17*($I17-3)/$I17*$F$4)</f>
        <v>9450</v>
      </c>
      <c r="O17" s="103">
        <f>($F17/$I17)+($F17*($I17-4)/$I17*$F$4)</f>
        <v>9225</v>
      </c>
      <c r="P17" s="103">
        <v>0</v>
      </c>
      <c r="Q17" s="103"/>
      <c r="R17" s="103"/>
      <c r="S17" s="103"/>
      <c r="T17" s="103"/>
      <c r="U17" s="103"/>
      <c r="V17" s="103"/>
      <c r="W17" s="103"/>
      <c r="X17" s="103"/>
      <c r="Y17" s="104"/>
      <c r="Z17" s="104"/>
      <c r="AA17" s="104"/>
      <c r="AB17" s="104"/>
      <c r="AC17" s="104"/>
      <c r="AD17" s="104"/>
      <c r="AE17" s="104"/>
      <c r="AF17" s="104"/>
    </row>
    <row r="18" spans="1:32" s="1" customFormat="1" ht="12.75" x14ac:dyDescent="0.2">
      <c r="A18" s="2" t="s">
        <v>123</v>
      </c>
      <c r="B18" s="6">
        <v>21</v>
      </c>
      <c r="C18" s="6" t="s">
        <v>9</v>
      </c>
      <c r="D18" s="6" t="s">
        <v>21</v>
      </c>
      <c r="E18" s="6">
        <v>12</v>
      </c>
      <c r="F18" s="116">
        <v>46000</v>
      </c>
      <c r="G18" s="6" t="s">
        <v>4</v>
      </c>
      <c r="H18" s="111">
        <f t="shared" si="0"/>
        <v>2300</v>
      </c>
      <c r="I18" s="5">
        <v>3</v>
      </c>
      <c r="J18" s="91">
        <v>0</v>
      </c>
      <c r="K18" s="92">
        <f t="shared" si="2"/>
        <v>16483.333333333336</v>
      </c>
      <c r="L18" s="92">
        <f t="shared" si="3"/>
        <v>16100</v>
      </c>
      <c r="M18" s="92">
        <f t="shared" si="4"/>
        <v>15716.666666666668</v>
      </c>
      <c r="N18" s="92">
        <v>0</v>
      </c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4"/>
      <c r="AF18" s="104"/>
    </row>
    <row r="19" spans="1:32" s="1" customFormat="1" ht="12.75" x14ac:dyDescent="0.2">
      <c r="A19" s="2" t="s">
        <v>60</v>
      </c>
      <c r="B19" s="6">
        <v>21</v>
      </c>
      <c r="C19" s="6" t="s">
        <v>10</v>
      </c>
      <c r="D19" s="6" t="s">
        <v>26</v>
      </c>
      <c r="E19" s="6">
        <v>13</v>
      </c>
      <c r="F19" s="116">
        <v>1000000</v>
      </c>
      <c r="G19" s="6" t="s">
        <v>4</v>
      </c>
      <c r="H19" s="111">
        <f t="shared" si="0"/>
        <v>200000</v>
      </c>
      <c r="I19" s="5">
        <v>15</v>
      </c>
      <c r="J19" s="91">
        <v>0</v>
      </c>
      <c r="K19" s="92">
        <f t="shared" si="2"/>
        <v>91666.666666666672</v>
      </c>
      <c r="L19" s="92">
        <f t="shared" si="3"/>
        <v>90000</v>
      </c>
      <c r="M19" s="92">
        <f t="shared" si="4"/>
        <v>88333.333333333343</v>
      </c>
      <c r="N19" s="92">
        <f>($F19/$I19)+($F19*($I19-3)/$I19*$F$4)</f>
        <v>86666.666666666672</v>
      </c>
      <c r="O19" s="103">
        <f>($F19/$I19)+($F19*($I19-4)/$I19*$F$4)</f>
        <v>85000</v>
      </c>
      <c r="P19" s="103">
        <f>($F19/$I19)+($F19*($I19-5)/$I19*$F$4)</f>
        <v>83333.333333333343</v>
      </c>
      <c r="Q19" s="103">
        <f>($F19/$I19)+($F19*($I19-6)/$I19*$F$4)</f>
        <v>81666.666666666672</v>
      </c>
      <c r="R19" s="103">
        <f>($F19/$I19)+($F19*($I19-7)/$I19*$F$4)</f>
        <v>80000</v>
      </c>
      <c r="S19" s="103">
        <f>($F19/$I19)+($F19*($I19-8)/$I19*$F$4)</f>
        <v>78333.333333333343</v>
      </c>
      <c r="T19" s="103">
        <f>($F19/$I19)+($F19*($I19-9)/$I19*$F$4)</f>
        <v>76666.666666666672</v>
      </c>
      <c r="U19" s="103">
        <f>($F19/$I19)+($F19*($I19-10)/$I19*$F$4)</f>
        <v>75000</v>
      </c>
      <c r="V19" s="103">
        <f>($F19/$I19)+($F19*($I19-11)/$I19*$F$4)</f>
        <v>73333.333333333343</v>
      </c>
      <c r="W19" s="103">
        <f>($F19/$I19)+($F19*($I19-12)/$I19*$F$4)</f>
        <v>71666.666666666672</v>
      </c>
      <c r="X19" s="103">
        <f>($F19/$I19)+($F19*($I19-13)/$I19*$F$4)</f>
        <v>70000</v>
      </c>
      <c r="Y19" s="103">
        <f>($F19/$I19)+($F19*($I19-14)/$I19*$F$4)</f>
        <v>68333.333333333343</v>
      </c>
      <c r="Z19" s="104">
        <v>0</v>
      </c>
      <c r="AA19" s="104"/>
      <c r="AB19" s="104"/>
      <c r="AC19" s="104"/>
      <c r="AD19" s="104"/>
      <c r="AE19" s="104"/>
      <c r="AF19" s="104"/>
    </row>
    <row r="20" spans="1:32" s="1" customFormat="1" ht="12.75" x14ac:dyDescent="0.2">
      <c r="A20" s="2" t="s">
        <v>131</v>
      </c>
      <c r="B20" s="6">
        <v>21</v>
      </c>
      <c r="C20" s="6" t="s">
        <v>133</v>
      </c>
      <c r="D20" s="6" t="s">
        <v>21</v>
      </c>
      <c r="E20" s="6">
        <v>14</v>
      </c>
      <c r="F20" s="116">
        <v>27000</v>
      </c>
      <c r="G20" s="6" t="s">
        <v>4</v>
      </c>
      <c r="H20" s="111">
        <f t="shared" ref="H20:H25" si="6">SUM(J20:AF20)-F20</f>
        <v>2025</v>
      </c>
      <c r="I20" s="5">
        <v>5</v>
      </c>
      <c r="J20" s="91">
        <v>0</v>
      </c>
      <c r="K20" s="92">
        <f>($F20/$I20)+($F20*($I20-0)/$I20*$F$4)</f>
        <v>6075</v>
      </c>
      <c r="L20" s="92">
        <f>($F20/$I20)+($F20*($I20-1)/$I20*$F$4)</f>
        <v>5940</v>
      </c>
      <c r="M20" s="92">
        <f>($F20/$I20)+($F20*($I20-2)/$I20*$F$4)</f>
        <v>5805</v>
      </c>
      <c r="N20" s="92">
        <f>($F20/$I20)+($F20*($I20-3)/$I20*$F$4)</f>
        <v>5670</v>
      </c>
      <c r="O20" s="103">
        <f>($F20/$I20)+($F20*($I20-4)/$I20*$F$4)</f>
        <v>5535</v>
      </c>
      <c r="P20" s="103">
        <v>0</v>
      </c>
      <c r="Q20" s="103"/>
      <c r="R20" s="103"/>
      <c r="S20" s="103"/>
      <c r="T20" s="103"/>
      <c r="U20" s="103"/>
      <c r="V20" s="103"/>
      <c r="W20" s="103"/>
      <c r="X20" s="103"/>
      <c r="Y20" s="104"/>
      <c r="Z20" s="104"/>
      <c r="AA20" s="104"/>
      <c r="AB20" s="104"/>
      <c r="AC20" s="104"/>
      <c r="AD20" s="104"/>
      <c r="AE20" s="104"/>
      <c r="AF20" s="104"/>
    </row>
    <row r="21" spans="1:32" s="1" customFormat="1" ht="12.75" x14ac:dyDescent="0.2">
      <c r="A21" s="2" t="s">
        <v>162</v>
      </c>
      <c r="B21" s="6">
        <v>21</v>
      </c>
      <c r="C21" s="6" t="s">
        <v>8</v>
      </c>
      <c r="D21" s="6" t="s">
        <v>20</v>
      </c>
      <c r="E21" s="19">
        <v>15</v>
      </c>
      <c r="F21" s="116">
        <v>1200000</v>
      </c>
      <c r="G21" s="6" t="s">
        <v>173</v>
      </c>
      <c r="H21" s="112">
        <f t="shared" si="6"/>
        <v>378000</v>
      </c>
      <c r="I21" s="5">
        <v>20</v>
      </c>
      <c r="J21" s="95">
        <v>0</v>
      </c>
      <c r="K21" s="92">
        <f>($F21/$I21)+($F21*($I21-0)/$I21*$F$3)</f>
        <v>96000</v>
      </c>
      <c r="L21" s="92">
        <f>($F21/$I21)+($F21*($I21-1)/$I21*$F$3)</f>
        <v>94200</v>
      </c>
      <c r="M21" s="92">
        <f>($F21/$I21)+($F21*($I21-2)/$I21*$F$3)</f>
        <v>92400</v>
      </c>
      <c r="N21" s="92">
        <f>($F21/$I21)+($F21*($I21-3)/$I21*$F$3)</f>
        <v>90600</v>
      </c>
      <c r="O21" s="103">
        <f>($F21/$I21)+($F21*($I21-4)/$I21*$F$3)</f>
        <v>88800</v>
      </c>
      <c r="P21" s="103">
        <f>($F21/$I21)+($F21*($I21-5)/$I21*$F$3)</f>
        <v>87000</v>
      </c>
      <c r="Q21" s="103">
        <f>($F21/$I21)+($F21*($I21-6)/$I21*$F$3)</f>
        <v>85200</v>
      </c>
      <c r="R21" s="103">
        <f>($F21/$I21)+($F21*($I21-7)/$I21*$F$3)</f>
        <v>83400</v>
      </c>
      <c r="S21" s="103">
        <f>($F21/$I21)+($F21*($I21-8)/$I21*$F$3)</f>
        <v>81600</v>
      </c>
      <c r="T21" s="103">
        <f>($F21/$I21)+($F21*($I21-9)/$I21*$F$3)</f>
        <v>79800</v>
      </c>
      <c r="U21" s="103">
        <f>($F21/$I21)+($F21*($I21-10)/$I21*$F$3)</f>
        <v>78000</v>
      </c>
      <c r="V21" s="103">
        <f>($F21/$I21)+($F21*($I21-11)/$I21*$F$3)</f>
        <v>76200</v>
      </c>
      <c r="W21" s="103">
        <f>($F21/$I21)+($F21*($I21-12)/$I21*$F$3)</f>
        <v>74400</v>
      </c>
      <c r="X21" s="103">
        <f>($F21/$I21)+($F21*($I21-13)/$I21*$F$3)</f>
        <v>72600</v>
      </c>
      <c r="Y21" s="103">
        <f>($F21/$I21)+($F21*($I21-14)/$I21*$F$3)</f>
        <v>70800</v>
      </c>
      <c r="Z21" s="103">
        <f>($F21/$I21)+($F21*($I21-15)/$I21*$F$3)</f>
        <v>69000</v>
      </c>
      <c r="AA21" s="103">
        <f>($F21/$I21)+($F21*($I21-16)/$I21*$F$3)</f>
        <v>67200</v>
      </c>
      <c r="AB21" s="103">
        <f>($F21/$I21)+($F21*($I21-17)/$I21*$F$3)</f>
        <v>65400</v>
      </c>
      <c r="AC21" s="103">
        <f>($F21/$I21)+($F21*($I21-18)/$I21*$F$3)</f>
        <v>63600</v>
      </c>
      <c r="AD21" s="103">
        <f>($F21/$I21)+($F21*($I21-19)/$I21*$F$3)</f>
        <v>61800</v>
      </c>
      <c r="AE21" s="104">
        <v>0</v>
      </c>
      <c r="AF21" s="104"/>
    </row>
    <row r="22" spans="1:32" s="1" customFormat="1" ht="12.75" x14ac:dyDescent="0.2">
      <c r="A22" s="2" t="s">
        <v>156</v>
      </c>
      <c r="B22" s="6">
        <v>21</v>
      </c>
      <c r="C22" s="6" t="s">
        <v>23</v>
      </c>
      <c r="D22" s="6" t="s">
        <v>20</v>
      </c>
      <c r="E22" s="6">
        <v>16</v>
      </c>
      <c r="F22" s="116">
        <v>50000</v>
      </c>
      <c r="G22" s="6" t="s">
        <v>164</v>
      </c>
      <c r="H22" s="111">
        <f t="shared" si="6"/>
        <v>0</v>
      </c>
      <c r="I22" s="5" t="s">
        <v>27</v>
      </c>
      <c r="J22" s="91">
        <f>F22</f>
        <v>50000</v>
      </c>
      <c r="K22" s="92">
        <v>0</v>
      </c>
      <c r="L22" s="92">
        <v>0</v>
      </c>
      <c r="M22" s="92">
        <v>0</v>
      </c>
      <c r="N22" s="92">
        <v>0</v>
      </c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4"/>
      <c r="Z22" s="104"/>
      <c r="AA22" s="104"/>
      <c r="AB22" s="104"/>
      <c r="AC22" s="104"/>
      <c r="AD22" s="104"/>
      <c r="AE22" s="104"/>
      <c r="AF22" s="104"/>
    </row>
    <row r="23" spans="1:32" s="1" customFormat="1" ht="12.75" x14ac:dyDescent="0.2">
      <c r="A23" s="2" t="s">
        <v>120</v>
      </c>
      <c r="B23" s="6">
        <v>21</v>
      </c>
      <c r="C23" s="6" t="s">
        <v>8</v>
      </c>
      <c r="D23" s="6" t="s">
        <v>24</v>
      </c>
      <c r="E23" s="6">
        <v>17</v>
      </c>
      <c r="F23" s="116">
        <v>28000</v>
      </c>
      <c r="G23" s="6" t="s">
        <v>4</v>
      </c>
      <c r="H23" s="111">
        <f t="shared" si="6"/>
        <v>2100</v>
      </c>
      <c r="I23" s="5">
        <v>5</v>
      </c>
      <c r="J23" s="91">
        <v>0</v>
      </c>
      <c r="K23" s="92">
        <f>($F23/$I23)+($F23*($I23-0)/$I23*$F$4)</f>
        <v>6300</v>
      </c>
      <c r="L23" s="92">
        <f>($F23/$I23)+($F23*($I23-1)/$I23*$F$4)</f>
        <v>6160</v>
      </c>
      <c r="M23" s="92">
        <f>($F23/$I23)+($F23*($I23-2)/$I23*$F$4)</f>
        <v>6020</v>
      </c>
      <c r="N23" s="92">
        <f>($F23/$I23)+($F23*($I23-3)/$I23*$F$4)</f>
        <v>5880</v>
      </c>
      <c r="O23" s="103">
        <f>($F23/$I23)+($F23*($I23-4)/$I23*$F$4)</f>
        <v>5740</v>
      </c>
      <c r="P23" s="103">
        <v>0</v>
      </c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4"/>
      <c r="AF23" s="104"/>
    </row>
    <row r="24" spans="1:32" s="1" customFormat="1" ht="12.75" x14ac:dyDescent="0.2">
      <c r="A24" s="2" t="s">
        <v>157</v>
      </c>
      <c r="B24" s="6">
        <v>21</v>
      </c>
      <c r="C24" s="6" t="s">
        <v>23</v>
      </c>
      <c r="D24" s="6" t="s">
        <v>21</v>
      </c>
      <c r="E24" s="6">
        <v>18</v>
      </c>
      <c r="F24" s="116">
        <v>45000</v>
      </c>
      <c r="G24" s="6" t="s">
        <v>164</v>
      </c>
      <c r="H24" s="111">
        <f t="shared" si="6"/>
        <v>0</v>
      </c>
      <c r="I24" s="5" t="s">
        <v>27</v>
      </c>
      <c r="J24" s="91">
        <f>F24</f>
        <v>45000</v>
      </c>
      <c r="K24" s="92">
        <v>0</v>
      </c>
      <c r="L24" s="92">
        <v>0</v>
      </c>
      <c r="M24" s="92">
        <v>0</v>
      </c>
      <c r="N24" s="92">
        <v>0</v>
      </c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4"/>
      <c r="Z24" s="104"/>
      <c r="AA24" s="104"/>
      <c r="AB24" s="104"/>
      <c r="AC24" s="104"/>
      <c r="AD24" s="104"/>
      <c r="AE24" s="104"/>
      <c r="AF24" s="104"/>
    </row>
    <row r="25" spans="1:32" s="1" customFormat="1" ht="12.75" x14ac:dyDescent="0.2">
      <c r="A25" s="2" t="s">
        <v>119</v>
      </c>
      <c r="B25" s="6">
        <v>21</v>
      </c>
      <c r="C25" s="6" t="s">
        <v>132</v>
      </c>
      <c r="D25" s="6" t="s">
        <v>24</v>
      </c>
      <c r="E25" s="6">
        <v>19</v>
      </c>
      <c r="F25" s="116">
        <v>35000</v>
      </c>
      <c r="G25" s="6" t="s">
        <v>4</v>
      </c>
      <c r="H25" s="111">
        <f t="shared" si="6"/>
        <v>2625</v>
      </c>
      <c r="I25" s="5">
        <v>5</v>
      </c>
      <c r="J25" s="91">
        <v>0</v>
      </c>
      <c r="K25" s="92">
        <f>($F25/$I25)+($F25*($I25-0)/$I25*$F$4)</f>
        <v>7875</v>
      </c>
      <c r="L25" s="92">
        <f>($F25/$I25)+($F25*($I25-1)/$I25*$F$4)</f>
        <v>7700</v>
      </c>
      <c r="M25" s="92">
        <f>($F25/$I25)+($F25*($I25-2)/$I25*$F$4)</f>
        <v>7525</v>
      </c>
      <c r="N25" s="92">
        <f>($F25/$I25)+($F25*($I25-3)/$I25*$F$4)</f>
        <v>7350</v>
      </c>
      <c r="O25" s="103">
        <f>($F25/$I25)+($F25*($I25-4)/$I25*$F$4)</f>
        <v>7175</v>
      </c>
      <c r="P25" s="103">
        <v>0</v>
      </c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4"/>
      <c r="AF25" s="104"/>
    </row>
    <row r="26" spans="1:32" s="1" customFormat="1" ht="12.75" x14ac:dyDescent="0.2">
      <c r="A26" s="2" t="s">
        <v>125</v>
      </c>
      <c r="B26" s="6">
        <v>21</v>
      </c>
      <c r="C26" s="6" t="s">
        <v>9</v>
      </c>
      <c r="D26" s="6" t="s">
        <v>24</v>
      </c>
      <c r="E26" s="6">
        <v>20</v>
      </c>
      <c r="F26" s="116">
        <v>35000</v>
      </c>
      <c r="G26" s="6" t="s">
        <v>4</v>
      </c>
      <c r="H26" s="111">
        <f t="shared" si="0"/>
        <v>2625</v>
      </c>
      <c r="I26" s="5">
        <v>5</v>
      </c>
      <c r="J26" s="91">
        <v>0</v>
      </c>
      <c r="K26" s="92">
        <f t="shared" ref="K26:K27" si="7">($F26/$I26)+($F26*($I26-0)/$I26*$F$4)</f>
        <v>7875</v>
      </c>
      <c r="L26" s="92">
        <f t="shared" ref="L26:L27" si="8">($F26/$I26)+($F26*($I26-1)/$I26*$F$4)</f>
        <v>7700</v>
      </c>
      <c r="M26" s="92">
        <f t="shared" ref="M26:M27" si="9">($F26/$I26)+($F26*($I26-2)/$I26*$F$4)</f>
        <v>7525</v>
      </c>
      <c r="N26" s="92">
        <f t="shared" ref="N26:N27" si="10">($F26/$I26)+($F26*($I26-3)/$I26*$F$4)</f>
        <v>7350</v>
      </c>
      <c r="O26" s="103">
        <f t="shared" ref="O26:O27" si="11">($F26/$I26)+($F26*($I26-4)/$I26*$F$4)</f>
        <v>7175</v>
      </c>
      <c r="P26" s="103">
        <v>0</v>
      </c>
      <c r="Q26" s="103"/>
      <c r="R26" s="103"/>
      <c r="S26" s="103"/>
      <c r="T26" s="103"/>
      <c r="U26" s="103"/>
      <c r="V26" s="103"/>
      <c r="W26" s="103"/>
      <c r="X26" s="103"/>
      <c r="Y26" s="103"/>
      <c r="Z26" s="104"/>
      <c r="AA26" s="104"/>
      <c r="AB26" s="104"/>
      <c r="AC26" s="104"/>
      <c r="AD26" s="104"/>
      <c r="AE26" s="104"/>
      <c r="AF26" s="104"/>
    </row>
    <row r="27" spans="1:32" s="1" customFormat="1" ht="12.75" x14ac:dyDescent="0.2">
      <c r="A27" s="2" t="s">
        <v>17</v>
      </c>
      <c r="B27" s="6">
        <v>21</v>
      </c>
      <c r="C27" s="6" t="s">
        <v>10</v>
      </c>
      <c r="D27" s="6" t="s">
        <v>26</v>
      </c>
      <c r="E27" s="6">
        <v>21</v>
      </c>
      <c r="F27" s="116">
        <v>125000</v>
      </c>
      <c r="G27" s="6" t="s">
        <v>4</v>
      </c>
      <c r="H27" s="111">
        <f t="shared" si="0"/>
        <v>9375</v>
      </c>
      <c r="I27" s="5">
        <v>5</v>
      </c>
      <c r="J27" s="91">
        <v>0</v>
      </c>
      <c r="K27" s="92">
        <f t="shared" si="7"/>
        <v>28125</v>
      </c>
      <c r="L27" s="92">
        <f t="shared" si="8"/>
        <v>27500</v>
      </c>
      <c r="M27" s="92">
        <f t="shared" si="9"/>
        <v>26875</v>
      </c>
      <c r="N27" s="92">
        <f t="shared" si="10"/>
        <v>26250</v>
      </c>
      <c r="O27" s="103">
        <f t="shared" si="11"/>
        <v>25625</v>
      </c>
      <c r="P27" s="103">
        <v>0</v>
      </c>
      <c r="Q27" s="103"/>
      <c r="R27" s="103"/>
      <c r="S27" s="103"/>
      <c r="T27" s="103"/>
      <c r="U27" s="103"/>
      <c r="V27" s="103"/>
      <c r="W27" s="103"/>
      <c r="X27" s="103"/>
      <c r="Y27" s="104"/>
      <c r="Z27" s="104"/>
      <c r="AA27" s="104"/>
      <c r="AB27" s="104"/>
      <c r="AC27" s="104"/>
      <c r="AD27" s="104"/>
      <c r="AE27" s="104"/>
      <c r="AF27" s="104"/>
    </row>
    <row r="28" spans="1:32" s="1" customFormat="1" ht="12.75" x14ac:dyDescent="0.2">
      <c r="A28" s="9" t="s">
        <v>207</v>
      </c>
      <c r="B28" s="6">
        <v>22</v>
      </c>
      <c r="C28" s="8" t="s">
        <v>8</v>
      </c>
      <c r="D28" s="6" t="s">
        <v>20</v>
      </c>
      <c r="E28" s="231">
        <v>22</v>
      </c>
      <c r="F28" s="18">
        <v>65000</v>
      </c>
      <c r="G28" s="8" t="s">
        <v>205</v>
      </c>
      <c r="H28" s="111">
        <v>0</v>
      </c>
      <c r="I28" s="5" t="s">
        <v>27</v>
      </c>
      <c r="J28" s="91">
        <f>F28</f>
        <v>65000</v>
      </c>
      <c r="K28" s="92">
        <v>0</v>
      </c>
      <c r="L28" s="92">
        <v>0</v>
      </c>
      <c r="M28" s="92">
        <v>0</v>
      </c>
      <c r="N28" s="92">
        <v>0</v>
      </c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4"/>
      <c r="Z28" s="104"/>
      <c r="AA28" s="104"/>
      <c r="AB28" s="104"/>
      <c r="AC28" s="104"/>
      <c r="AD28" s="104"/>
      <c r="AE28" s="104"/>
      <c r="AF28" s="104"/>
    </row>
    <row r="29" spans="1:32" s="1" customFormat="1" ht="12.75" x14ac:dyDescent="0.2">
      <c r="A29" s="2" t="s">
        <v>122</v>
      </c>
      <c r="B29" s="6">
        <v>21</v>
      </c>
      <c r="C29" s="6" t="s">
        <v>8</v>
      </c>
      <c r="D29" s="6" t="s">
        <v>20</v>
      </c>
      <c r="E29" s="6">
        <v>23</v>
      </c>
      <c r="F29" s="116">
        <v>46000</v>
      </c>
      <c r="G29" s="6" t="s">
        <v>22</v>
      </c>
      <c r="H29" s="111">
        <v>0</v>
      </c>
      <c r="I29" s="5" t="s">
        <v>27</v>
      </c>
      <c r="J29" s="91">
        <v>0</v>
      </c>
      <c r="K29" s="92">
        <v>0</v>
      </c>
      <c r="L29" s="92">
        <v>0</v>
      </c>
      <c r="M29" s="92">
        <v>0</v>
      </c>
      <c r="N29" s="92">
        <v>0</v>
      </c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4"/>
      <c r="AF29" s="104"/>
    </row>
    <row r="30" spans="1:32" s="1" customFormat="1" ht="13.5" thickBot="1" x14ac:dyDescent="0.25">
      <c r="A30" s="2" t="s">
        <v>7</v>
      </c>
      <c r="B30" s="6">
        <v>21</v>
      </c>
      <c r="C30" s="6" t="s">
        <v>8</v>
      </c>
      <c r="D30" s="6" t="s">
        <v>20</v>
      </c>
      <c r="E30" s="6">
        <v>24</v>
      </c>
      <c r="F30" s="116">
        <v>45000</v>
      </c>
      <c r="G30" s="6" t="s">
        <v>22</v>
      </c>
      <c r="H30" s="111">
        <v>0</v>
      </c>
      <c r="I30" s="5" t="s">
        <v>27</v>
      </c>
      <c r="J30" s="91">
        <v>0</v>
      </c>
      <c r="K30" s="92">
        <v>0</v>
      </c>
      <c r="L30" s="92">
        <v>0</v>
      </c>
      <c r="M30" s="92">
        <v>0</v>
      </c>
      <c r="N30" s="92">
        <v>0</v>
      </c>
      <c r="O30" s="103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</row>
    <row r="31" spans="1:32" s="85" customFormat="1" ht="15.75" thickBot="1" x14ac:dyDescent="0.3">
      <c r="A31" s="84"/>
      <c r="B31" s="84"/>
      <c r="C31" s="84"/>
      <c r="D31" s="84"/>
      <c r="E31" s="84"/>
      <c r="F31" s="232">
        <f>SUM(F7:F30)</f>
        <v>5139000</v>
      </c>
      <c r="G31" s="84"/>
      <c r="H31" s="113">
        <f>SUM(H7:H30)</f>
        <v>988237.5</v>
      </c>
      <c r="I31" s="84"/>
      <c r="J31" s="96">
        <f t="shared" ref="J31:AF31" si="12">SUM(J7:J30)</f>
        <v>467000</v>
      </c>
      <c r="K31" s="96">
        <f t="shared" si="12"/>
        <v>507025</v>
      </c>
      <c r="L31" s="96">
        <f t="shared" si="12"/>
        <v>497062.5</v>
      </c>
      <c r="M31" s="96">
        <f t="shared" si="12"/>
        <v>487100</v>
      </c>
      <c r="N31" s="96">
        <f t="shared" si="12"/>
        <v>461804.16666666669</v>
      </c>
      <c r="O31" s="105">
        <f t="shared" si="12"/>
        <v>452225</v>
      </c>
      <c r="P31" s="105">
        <f t="shared" si="12"/>
        <v>320645.83333333337</v>
      </c>
      <c r="Q31" s="105">
        <f t="shared" si="12"/>
        <v>314116.66666666669</v>
      </c>
      <c r="R31" s="105">
        <f t="shared" si="12"/>
        <v>307587.5</v>
      </c>
      <c r="S31" s="105">
        <f t="shared" si="12"/>
        <v>301058.33333333337</v>
      </c>
      <c r="T31" s="105">
        <f t="shared" si="12"/>
        <v>294529.16666666669</v>
      </c>
      <c r="U31" s="105">
        <f t="shared" si="12"/>
        <v>215500</v>
      </c>
      <c r="V31" s="105">
        <f t="shared" si="12"/>
        <v>210783.33333333334</v>
      </c>
      <c r="W31" s="105">
        <f t="shared" si="12"/>
        <v>206066.66666666669</v>
      </c>
      <c r="X31" s="105">
        <f t="shared" si="12"/>
        <v>201350</v>
      </c>
      <c r="Y31" s="105">
        <f t="shared" si="12"/>
        <v>196633.33333333334</v>
      </c>
      <c r="Z31" s="105">
        <f t="shared" si="12"/>
        <v>125250</v>
      </c>
      <c r="AA31" s="105">
        <f t="shared" si="12"/>
        <v>122200</v>
      </c>
      <c r="AB31" s="105">
        <f t="shared" si="12"/>
        <v>119150</v>
      </c>
      <c r="AC31" s="105">
        <f t="shared" si="12"/>
        <v>116100</v>
      </c>
      <c r="AD31" s="105">
        <f t="shared" si="12"/>
        <v>113050</v>
      </c>
      <c r="AE31" s="105">
        <f t="shared" si="12"/>
        <v>0</v>
      </c>
      <c r="AF31" s="105">
        <f t="shared" si="12"/>
        <v>0</v>
      </c>
    </row>
    <row r="32" spans="1:32" s="85" customFormat="1" x14ac:dyDescent="0.25">
      <c r="F32" s="72"/>
      <c r="H32" s="72"/>
      <c r="J32" s="106"/>
      <c r="K32" s="107"/>
      <c r="L32" s="107"/>
      <c r="M32" s="107"/>
      <c r="N32" s="107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</row>
    <row r="33" spans="6:32" s="85" customFormat="1" x14ac:dyDescent="0.25">
      <c r="F33" s="72"/>
      <c r="H33" s="72"/>
      <c r="I33" s="86" t="s">
        <v>69</v>
      </c>
      <c r="J33" s="106">
        <f>J31-J34</f>
        <v>372000</v>
      </c>
      <c r="K33" s="106">
        <f t="shared" ref="K33:AD33" si="13">K31-K34</f>
        <v>446900</v>
      </c>
      <c r="L33" s="106">
        <f t="shared" si="13"/>
        <v>438162.5</v>
      </c>
      <c r="M33" s="106">
        <f t="shared" si="13"/>
        <v>429425</v>
      </c>
      <c r="N33" s="106">
        <f t="shared" si="13"/>
        <v>405354.16666666669</v>
      </c>
      <c r="O33" s="109">
        <f t="shared" si="13"/>
        <v>397000</v>
      </c>
      <c r="P33" s="109">
        <f t="shared" si="13"/>
        <v>275645.83333333337</v>
      </c>
      <c r="Q33" s="109">
        <f t="shared" si="13"/>
        <v>270116.66666666669</v>
      </c>
      <c r="R33" s="109">
        <f t="shared" si="13"/>
        <v>264587.5</v>
      </c>
      <c r="S33" s="109">
        <f t="shared" si="13"/>
        <v>259058.33333333337</v>
      </c>
      <c r="T33" s="109">
        <f t="shared" si="13"/>
        <v>253529.16666666669</v>
      </c>
      <c r="U33" s="109">
        <f t="shared" si="13"/>
        <v>215500</v>
      </c>
      <c r="V33" s="109">
        <f t="shared" si="13"/>
        <v>210783.33333333334</v>
      </c>
      <c r="W33" s="109">
        <f t="shared" si="13"/>
        <v>206066.66666666669</v>
      </c>
      <c r="X33" s="109">
        <f t="shared" si="13"/>
        <v>201350</v>
      </c>
      <c r="Y33" s="109">
        <f t="shared" si="13"/>
        <v>196633.33333333334</v>
      </c>
      <c r="Z33" s="109">
        <f t="shared" si="13"/>
        <v>125250</v>
      </c>
      <c r="AA33" s="109">
        <f t="shared" si="13"/>
        <v>122200</v>
      </c>
      <c r="AB33" s="109">
        <f t="shared" si="13"/>
        <v>119150</v>
      </c>
      <c r="AC33" s="109">
        <f t="shared" si="13"/>
        <v>116100</v>
      </c>
      <c r="AD33" s="109">
        <f t="shared" si="13"/>
        <v>113050</v>
      </c>
      <c r="AE33" s="108"/>
      <c r="AF33" s="108"/>
    </row>
    <row r="34" spans="6:32" s="85" customFormat="1" x14ac:dyDescent="0.25">
      <c r="F34" s="72"/>
      <c r="H34" s="72"/>
      <c r="I34" s="86" t="s">
        <v>70</v>
      </c>
      <c r="J34" s="107">
        <f t="shared" ref="J34:AD34" si="14">SUMIF($C7:$C30,"school",J7:J30)</f>
        <v>95000</v>
      </c>
      <c r="K34" s="107">
        <f t="shared" si="14"/>
        <v>60125</v>
      </c>
      <c r="L34" s="107">
        <f t="shared" si="14"/>
        <v>58900</v>
      </c>
      <c r="M34" s="107">
        <f t="shared" si="14"/>
        <v>57675</v>
      </c>
      <c r="N34" s="107">
        <f t="shared" si="14"/>
        <v>56450</v>
      </c>
      <c r="O34" s="108">
        <f t="shared" si="14"/>
        <v>55225</v>
      </c>
      <c r="P34" s="108">
        <f t="shared" si="14"/>
        <v>45000</v>
      </c>
      <c r="Q34" s="108">
        <f t="shared" si="14"/>
        <v>44000</v>
      </c>
      <c r="R34" s="108">
        <f t="shared" si="14"/>
        <v>43000</v>
      </c>
      <c r="S34" s="108">
        <f t="shared" si="14"/>
        <v>42000</v>
      </c>
      <c r="T34" s="108">
        <f t="shared" si="14"/>
        <v>41000</v>
      </c>
      <c r="U34" s="108">
        <f t="shared" si="14"/>
        <v>0</v>
      </c>
      <c r="V34" s="108">
        <f t="shared" si="14"/>
        <v>0</v>
      </c>
      <c r="W34" s="108">
        <f t="shared" si="14"/>
        <v>0</v>
      </c>
      <c r="X34" s="108">
        <f t="shared" si="14"/>
        <v>0</v>
      </c>
      <c r="Y34" s="108">
        <f t="shared" si="14"/>
        <v>0</v>
      </c>
      <c r="Z34" s="108">
        <f t="shared" si="14"/>
        <v>0</v>
      </c>
      <c r="AA34" s="108">
        <f t="shared" si="14"/>
        <v>0</v>
      </c>
      <c r="AB34" s="108">
        <f t="shared" si="14"/>
        <v>0</v>
      </c>
      <c r="AC34" s="108">
        <f t="shared" si="14"/>
        <v>0</v>
      </c>
      <c r="AD34" s="108">
        <f t="shared" si="14"/>
        <v>0</v>
      </c>
      <c r="AE34" s="108"/>
      <c r="AF34" s="108"/>
    </row>
    <row r="35" spans="6:32" s="85" customFormat="1" ht="15.75" thickBot="1" x14ac:dyDescent="0.3">
      <c r="F35" s="72"/>
      <c r="H35" s="72"/>
      <c r="J35" s="72"/>
    </row>
    <row r="36" spans="6:32" s="85" customFormat="1" x14ac:dyDescent="0.25">
      <c r="F36" s="99">
        <f>SUMIF($G$7:$G$30,"bond",$F$7:$F$30)</f>
        <v>3381000</v>
      </c>
      <c r="G36" s="87" t="s">
        <v>175</v>
      </c>
      <c r="H36" s="76"/>
      <c r="I36" s="87"/>
      <c r="J36" s="80"/>
    </row>
    <row r="37" spans="6:32" s="85" customFormat="1" x14ac:dyDescent="0.25">
      <c r="F37" s="100">
        <f>SUMIF($G$7:$G$30,"bond - taxable",$F$7:$F$30)</f>
        <v>1200000</v>
      </c>
      <c r="G37" s="88" t="s">
        <v>174</v>
      </c>
      <c r="H37" s="77"/>
      <c r="I37" s="88"/>
      <c r="J37" s="81"/>
    </row>
    <row r="38" spans="6:32" s="85" customFormat="1" x14ac:dyDescent="0.25">
      <c r="F38" s="100">
        <f>SUMIF($G$7:$G$30,"general fund - Town",$F$7:$F$30)</f>
        <v>130000</v>
      </c>
      <c r="G38" s="88" t="s">
        <v>64</v>
      </c>
      <c r="H38" s="77"/>
      <c r="I38" s="88"/>
      <c r="J38" s="81"/>
    </row>
    <row r="39" spans="6:32" s="85" customFormat="1" x14ac:dyDescent="0.25">
      <c r="F39" s="100">
        <f>SUMIF($G$7:$G$30,"general fund - school",$F$7:$F$30)</f>
        <v>95000</v>
      </c>
      <c r="G39" s="88" t="s">
        <v>65</v>
      </c>
      <c r="H39" s="77"/>
      <c r="I39" s="88"/>
      <c r="J39" s="81"/>
    </row>
    <row r="40" spans="6:32" s="85" customFormat="1" x14ac:dyDescent="0.25">
      <c r="F40" s="100">
        <f>SUMIF($G$7:$G$30,"code fees",$F$7:$F$30)</f>
        <v>0</v>
      </c>
      <c r="G40" s="88" t="s">
        <v>152</v>
      </c>
      <c r="H40" s="77"/>
      <c r="I40" s="88"/>
      <c r="J40" s="81"/>
    </row>
    <row r="41" spans="6:32" s="85" customFormat="1" x14ac:dyDescent="0.25">
      <c r="F41" s="100">
        <f>SUMIF($G$7:$G$30,"Harbor funds",$F$7:$F$30)</f>
        <v>0</v>
      </c>
      <c r="G41" s="88" t="s">
        <v>66</v>
      </c>
      <c r="H41" s="77"/>
      <c r="I41" s="88"/>
      <c r="J41" s="81"/>
    </row>
    <row r="42" spans="6:32" s="85" customFormat="1" x14ac:dyDescent="0.25">
      <c r="F42" s="100">
        <f>SUMIF($G$7:$G$30,"Fund Balance",$F$7:$F$30)</f>
        <v>177000</v>
      </c>
      <c r="G42" s="233" t="s">
        <v>210</v>
      </c>
      <c r="H42" s="77"/>
      <c r="I42" s="88"/>
      <c r="J42" s="81"/>
    </row>
    <row r="43" spans="6:32" s="85" customFormat="1" x14ac:dyDescent="0.25">
      <c r="F43" s="100">
        <f>SUMIF($G$7:$G$30,"Land &amp; Bldg Fund",$F$7:$F$30)</f>
        <v>65000</v>
      </c>
      <c r="G43" s="233" t="s">
        <v>206</v>
      </c>
      <c r="H43" s="77"/>
      <c r="I43" s="88"/>
      <c r="J43" s="81"/>
    </row>
    <row r="44" spans="6:32" s="85" customFormat="1" ht="15.75" thickBot="1" x14ac:dyDescent="0.3">
      <c r="F44" s="127">
        <f>SUMIF($G$7:$G$30,"sohier park ent. fund",$F$7:$F$30)</f>
        <v>91000</v>
      </c>
      <c r="G44" s="89" t="s">
        <v>67</v>
      </c>
      <c r="H44" s="128"/>
      <c r="I44" s="89"/>
      <c r="J44" s="82"/>
    </row>
    <row r="45" spans="6:32" s="85" customFormat="1" ht="15.75" thickBot="1" x14ac:dyDescent="0.3">
      <c r="F45" s="101">
        <f>SUM(F36:F44)</f>
        <v>5139000</v>
      </c>
      <c r="G45" s="16" t="s">
        <v>92</v>
      </c>
      <c r="H45" s="78"/>
      <c r="I45" s="89"/>
      <c r="J45" s="82"/>
    </row>
    <row r="46" spans="6:32" s="85" customFormat="1" x14ac:dyDescent="0.25">
      <c r="F46" s="97"/>
      <c r="H46" s="72"/>
      <c r="J46" s="72"/>
    </row>
    <row r="47" spans="6:32" s="102" customFormat="1" x14ac:dyDescent="0.25">
      <c r="F47" s="98">
        <f>F31-F45</f>
        <v>0</v>
      </c>
      <c r="G47" s="35" t="s">
        <v>72</v>
      </c>
      <c r="H47" s="75"/>
      <c r="I47" s="35"/>
      <c r="J47" s="75"/>
    </row>
  </sheetData>
  <sortState xmlns:xlrd2="http://schemas.microsoft.com/office/spreadsheetml/2017/richdata2" ref="A20:AF25">
    <sortCondition ref="E20:E25"/>
  </sortState>
  <pageMargins left="0.7" right="0.7" top="0.75" bottom="0.75" header="0.3" footer="0.3"/>
  <pageSetup paperSize="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38"/>
  <sheetViews>
    <sheetView zoomScaleNormal="100" workbookViewId="0">
      <selection activeCell="A2" sqref="A2"/>
    </sheetView>
  </sheetViews>
  <sheetFormatPr defaultRowHeight="15" x14ac:dyDescent="0.25"/>
  <cols>
    <col min="1" max="1" width="59.7109375" customWidth="1"/>
    <col min="2" max="2" width="9.5703125" customWidth="1"/>
    <col min="3" max="3" width="20.7109375" customWidth="1"/>
    <col min="4" max="4" width="20.5703125" customWidth="1"/>
    <col min="5" max="5" width="10.5703125" hidden="1" customWidth="1"/>
    <col min="6" max="6" width="15.5703125" customWidth="1"/>
    <col min="7" max="7" width="18.7109375" customWidth="1"/>
    <col min="8" max="8" width="18.5703125" customWidth="1"/>
    <col min="9" max="9" width="9.5703125" customWidth="1"/>
    <col min="10" max="41" width="15.5703125" customWidth="1"/>
  </cols>
  <sheetData>
    <row r="1" spans="1:31" s="31" customFormat="1" ht="23.25" x14ac:dyDescent="0.35">
      <c r="A1" s="41" t="str">
        <f>'FY21 Capital Program'!A1</f>
        <v>Voter Approved: July 14, 2020</v>
      </c>
    </row>
    <row r="2" spans="1:31" ht="23.25" x14ac:dyDescent="0.35">
      <c r="A2" s="4" t="s">
        <v>74</v>
      </c>
      <c r="D2" s="163" t="s">
        <v>158</v>
      </c>
      <c r="E2" s="158"/>
      <c r="F2" s="159"/>
    </row>
    <row r="3" spans="1:31" ht="15.75" x14ac:dyDescent="0.25">
      <c r="A3" s="90">
        <f>'FY21 Capital Program'!A3</f>
        <v>44026</v>
      </c>
      <c r="D3" s="152" t="s">
        <v>159</v>
      </c>
      <c r="E3" s="164"/>
      <c r="F3" s="154">
        <f>'FY21 Capital Program'!F3</f>
        <v>0.03</v>
      </c>
    </row>
    <row r="4" spans="1:31" x14ac:dyDescent="0.25">
      <c r="D4" s="160" t="s">
        <v>160</v>
      </c>
      <c r="E4" s="161"/>
      <c r="F4" s="162">
        <f>'FY21 Capital Program'!F4</f>
        <v>2.5000000000000001E-2</v>
      </c>
      <c r="L4" s="22"/>
      <c r="M4" s="22"/>
      <c r="N4" s="2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</row>
    <row r="5" spans="1:31" s="24" customFormat="1" ht="45.75" thickBot="1" x14ac:dyDescent="0.3">
      <c r="A5" s="16"/>
      <c r="B5" s="16"/>
      <c r="C5" s="16"/>
      <c r="D5" s="16"/>
      <c r="E5" s="16"/>
      <c r="F5" s="16"/>
      <c r="G5" s="16"/>
      <c r="H5" s="16"/>
      <c r="I5" s="16"/>
      <c r="J5" s="15"/>
      <c r="K5" s="16"/>
      <c r="L5" s="15" t="s">
        <v>28</v>
      </c>
      <c r="M5" s="61"/>
      <c r="N5" s="61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</row>
    <row r="6" spans="1:31" ht="30.75" thickBot="1" x14ac:dyDescent="0.3">
      <c r="A6" s="15" t="s">
        <v>12</v>
      </c>
      <c r="B6" s="15" t="s">
        <v>29</v>
      </c>
      <c r="C6" s="15" t="s">
        <v>18</v>
      </c>
      <c r="D6" s="15" t="s">
        <v>19</v>
      </c>
      <c r="E6" s="15" t="s">
        <v>15</v>
      </c>
      <c r="F6" s="15" t="s">
        <v>6</v>
      </c>
      <c r="G6" s="15" t="s">
        <v>0</v>
      </c>
      <c r="H6" s="15" t="s">
        <v>71</v>
      </c>
      <c r="I6" s="15" t="s">
        <v>5</v>
      </c>
      <c r="J6" s="15" t="s">
        <v>2</v>
      </c>
      <c r="K6" s="15" t="s">
        <v>3</v>
      </c>
      <c r="L6" s="59" t="s">
        <v>33</v>
      </c>
      <c r="M6" s="59" t="s">
        <v>34</v>
      </c>
      <c r="N6" s="59" t="s">
        <v>35</v>
      </c>
      <c r="O6" s="60" t="s">
        <v>36</v>
      </c>
      <c r="P6" s="60" t="s">
        <v>37</v>
      </c>
      <c r="Q6" s="60" t="s">
        <v>38</v>
      </c>
      <c r="R6" s="60" t="s">
        <v>39</v>
      </c>
      <c r="S6" s="60" t="s">
        <v>40</v>
      </c>
      <c r="T6" s="60" t="s">
        <v>41</v>
      </c>
      <c r="U6" s="60" t="s">
        <v>42</v>
      </c>
      <c r="V6" s="60" t="s">
        <v>43</v>
      </c>
      <c r="W6" s="60" t="s">
        <v>44</v>
      </c>
      <c r="X6" s="60" t="s">
        <v>45</v>
      </c>
      <c r="Y6" s="60" t="s">
        <v>46</v>
      </c>
      <c r="Z6" s="60" t="s">
        <v>47</v>
      </c>
      <c r="AA6" s="60" t="s">
        <v>48</v>
      </c>
      <c r="AB6" s="60" t="s">
        <v>49</v>
      </c>
      <c r="AC6" s="60" t="s">
        <v>50</v>
      </c>
      <c r="AD6" s="60" t="s">
        <v>51</v>
      </c>
      <c r="AE6" s="60" t="s">
        <v>59</v>
      </c>
    </row>
    <row r="7" spans="1:31" s="1" customFormat="1" ht="12.75" x14ac:dyDescent="0.2">
      <c r="A7" s="9" t="s">
        <v>137</v>
      </c>
      <c r="B7" s="6">
        <v>22</v>
      </c>
      <c r="C7" s="8" t="s">
        <v>9</v>
      </c>
      <c r="D7" s="6" t="s">
        <v>24</v>
      </c>
      <c r="E7" s="64"/>
      <c r="F7" s="18">
        <v>75000</v>
      </c>
      <c r="G7" s="8" t="s">
        <v>68</v>
      </c>
      <c r="H7" s="3">
        <v>0</v>
      </c>
      <c r="I7" s="19" t="s">
        <v>27</v>
      </c>
      <c r="J7" s="137">
        <v>0</v>
      </c>
      <c r="K7" s="130">
        <v>0</v>
      </c>
      <c r="L7" s="132">
        <v>0</v>
      </c>
      <c r="M7" s="132">
        <v>0</v>
      </c>
      <c r="N7" s="132">
        <v>0</v>
      </c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</row>
    <row r="8" spans="1:31" s="1" customFormat="1" ht="12.75" x14ac:dyDescent="0.2">
      <c r="A8" s="9" t="s">
        <v>134</v>
      </c>
      <c r="B8" s="6">
        <v>22</v>
      </c>
      <c r="C8" s="8" t="s">
        <v>117</v>
      </c>
      <c r="D8" s="6" t="s">
        <v>21</v>
      </c>
      <c r="E8" s="64"/>
      <c r="F8" s="18">
        <v>50000</v>
      </c>
      <c r="G8" s="8" t="s">
        <v>4</v>
      </c>
      <c r="H8" s="3">
        <f>SUM(J8:AE8)-F8</f>
        <v>6875</v>
      </c>
      <c r="I8" s="8">
        <v>10</v>
      </c>
      <c r="J8" s="137">
        <v>0</v>
      </c>
      <c r="K8" s="133">
        <f>($F8/$I8)+($F8*($I8-0)/$I8*$F$4)</f>
        <v>6250</v>
      </c>
      <c r="L8" s="133">
        <f>($F8/$I8)+($F8*($I8-1)/$I8*$F$4)</f>
        <v>6125</v>
      </c>
      <c r="M8" s="131">
        <f>($F8/$I8)+($F8*($I8-2)/$I8*$F$4)</f>
        <v>6000</v>
      </c>
      <c r="N8" s="131">
        <f>($F8/$I8)+($F8*($I8-3)/$I8*$F$4)</f>
        <v>5875</v>
      </c>
      <c r="O8" s="139">
        <f>($F8/$I8)+($F8*($I8-4)/$I8*$F$4)</f>
        <v>5750</v>
      </c>
      <c r="P8" s="139">
        <f>($F8/$I8)+($F8*($I8-5)/$I8*$F$4)</f>
        <v>5625</v>
      </c>
      <c r="Q8" s="139">
        <f>($F8/$I8)+($F8*($I8-6)/$I8*$F$4)</f>
        <v>5500</v>
      </c>
      <c r="R8" s="139">
        <f>($F8/$I8)+($F8*($I8-7)/$I8*$F$4)</f>
        <v>5375</v>
      </c>
      <c r="S8" s="139">
        <f>($F8/$I8)+($F8*($I8-8)/$I8*$F$4)</f>
        <v>5250</v>
      </c>
      <c r="T8" s="139">
        <f>($F8/$I8)+($F8*($I8-9)/$I8*$F$4)</f>
        <v>5125</v>
      </c>
      <c r="U8" s="138">
        <v>0</v>
      </c>
      <c r="V8" s="138"/>
      <c r="W8" s="138"/>
      <c r="X8" s="138"/>
      <c r="Y8" s="138"/>
      <c r="Z8" s="138"/>
      <c r="AA8" s="138"/>
      <c r="AB8" s="138"/>
      <c r="AC8" s="138"/>
      <c r="AD8" s="138"/>
      <c r="AE8" s="138"/>
    </row>
    <row r="9" spans="1:31" s="1" customFormat="1" ht="12.75" x14ac:dyDescent="0.2">
      <c r="A9" s="9" t="s">
        <v>106</v>
      </c>
      <c r="B9" s="6">
        <v>22</v>
      </c>
      <c r="C9" s="8" t="s">
        <v>96</v>
      </c>
      <c r="D9" s="6" t="s">
        <v>21</v>
      </c>
      <c r="E9" s="64"/>
      <c r="F9" s="18">
        <v>298000</v>
      </c>
      <c r="G9" s="8" t="s">
        <v>4</v>
      </c>
      <c r="H9" s="3">
        <f>SUM(J9:AE9)-F9</f>
        <v>22350</v>
      </c>
      <c r="I9" s="8">
        <v>5</v>
      </c>
      <c r="J9" s="137">
        <v>0</v>
      </c>
      <c r="K9" s="133">
        <f>($F9/$I9)+($F9*($I9-0)/$I9*$F$4)</f>
        <v>67050</v>
      </c>
      <c r="L9" s="133">
        <f>($F9/$I9)+($F9*($I9-1)/$I9*$F$4)</f>
        <v>65560</v>
      </c>
      <c r="M9" s="131">
        <f>($F9/$I9)+($F9*($I9-2)/$I9*$F$4)</f>
        <v>64070</v>
      </c>
      <c r="N9" s="131">
        <f>($F9/$I9)+($F9*($I9-3)/$I9*$F$4)</f>
        <v>62580</v>
      </c>
      <c r="O9" s="139">
        <f>($F9/$I9)+($F9*($I9-4)/$I9*$F$4)</f>
        <v>61090</v>
      </c>
      <c r="P9" s="138">
        <v>0</v>
      </c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</row>
    <row r="10" spans="1:31" s="1" customFormat="1" ht="12.75" x14ac:dyDescent="0.2">
      <c r="A10" s="2" t="s">
        <v>121</v>
      </c>
      <c r="B10" s="6">
        <v>22</v>
      </c>
      <c r="C10" s="6" t="s">
        <v>8</v>
      </c>
      <c r="D10" s="6" t="s">
        <v>24</v>
      </c>
      <c r="E10" s="2"/>
      <c r="F10" s="116">
        <v>50000</v>
      </c>
      <c r="G10" s="6" t="s">
        <v>4</v>
      </c>
      <c r="H10" s="3">
        <v>50000</v>
      </c>
      <c r="I10" s="5">
        <v>5</v>
      </c>
      <c r="J10" s="137">
        <v>0</v>
      </c>
      <c r="K10" s="133">
        <f>($F10/$I10)+($F10*($I10-0)/$I10*$F$4)</f>
        <v>11250</v>
      </c>
      <c r="L10" s="133">
        <f>($F10/$I10)+($F10*($I10-1)/$I10*$F$4)</f>
        <v>11000</v>
      </c>
      <c r="M10" s="131">
        <f>($F10/$I10)+($F10*($I10-2)/$I10*$F$4)</f>
        <v>10750</v>
      </c>
      <c r="N10" s="131">
        <f>($F10/$I10)+($F10*($I10-3)/$I10*$F$4)</f>
        <v>10500</v>
      </c>
      <c r="O10" s="139">
        <f>($F10/$I10)+($F10*($I10-4)/$I10*$F$4)</f>
        <v>10250</v>
      </c>
      <c r="P10" s="138">
        <v>0</v>
      </c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</row>
    <row r="11" spans="1:31" s="1" customFormat="1" ht="12.75" x14ac:dyDescent="0.2">
      <c r="A11" s="9" t="s">
        <v>135</v>
      </c>
      <c r="B11" s="6">
        <v>22</v>
      </c>
      <c r="C11" s="8" t="s">
        <v>9</v>
      </c>
      <c r="D11" s="6" t="s">
        <v>21</v>
      </c>
      <c r="E11" s="64"/>
      <c r="F11" s="18">
        <v>60000</v>
      </c>
      <c r="G11" s="8" t="s">
        <v>4</v>
      </c>
      <c r="H11" s="3">
        <f>SUM(J11:AE11)-F11</f>
        <v>4500</v>
      </c>
      <c r="I11" s="19">
        <v>5</v>
      </c>
      <c r="J11" s="137">
        <v>0</v>
      </c>
      <c r="K11" s="133">
        <f>($F11/$I11)+($F11*($I11-0)/$I11*$F$4)</f>
        <v>13500</v>
      </c>
      <c r="L11" s="133">
        <f>($F11/$I11)+($F11*($I11-1)/$I11*$F$4)</f>
        <v>13200</v>
      </c>
      <c r="M11" s="131">
        <f>($F11/$I11)+($F11*($I11-2)/$I11*$F$4)</f>
        <v>12900</v>
      </c>
      <c r="N11" s="131">
        <f>($F11/$I11)+($F11*($I11-3)/$I11*$F$4)</f>
        <v>12600</v>
      </c>
      <c r="O11" s="139">
        <f>($F11/$I11)+($F11*($I11-4)/$I11*$F$4)</f>
        <v>12300</v>
      </c>
      <c r="P11" s="138">
        <v>0</v>
      </c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</row>
    <row r="12" spans="1:31" s="1" customFormat="1" ht="12.75" x14ac:dyDescent="0.2">
      <c r="A12" s="9" t="s">
        <v>136</v>
      </c>
      <c r="B12" s="6">
        <v>22</v>
      </c>
      <c r="C12" s="8" t="s">
        <v>9</v>
      </c>
      <c r="D12" s="6" t="s">
        <v>21</v>
      </c>
      <c r="E12" s="64"/>
      <c r="F12" s="18">
        <v>25000</v>
      </c>
      <c r="G12" s="8" t="s">
        <v>163</v>
      </c>
      <c r="H12" s="3">
        <v>0</v>
      </c>
      <c r="I12" s="19" t="s">
        <v>27</v>
      </c>
      <c r="J12" s="137">
        <f>F12</f>
        <v>25000</v>
      </c>
      <c r="K12" s="130">
        <v>0</v>
      </c>
      <c r="L12" s="132">
        <v>0</v>
      </c>
      <c r="M12" s="132">
        <v>0</v>
      </c>
      <c r="N12" s="132">
        <v>0</v>
      </c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</row>
    <row r="13" spans="1:31" s="1" customFormat="1" ht="12.75" x14ac:dyDescent="0.2">
      <c r="A13" s="9" t="s">
        <v>25</v>
      </c>
      <c r="B13" s="6">
        <v>22</v>
      </c>
      <c r="C13" s="8" t="s">
        <v>9</v>
      </c>
      <c r="D13" s="6" t="s">
        <v>24</v>
      </c>
      <c r="E13" s="64"/>
      <c r="F13" s="18">
        <v>130000</v>
      </c>
      <c r="G13" s="8" t="s">
        <v>163</v>
      </c>
      <c r="H13" s="3">
        <v>0</v>
      </c>
      <c r="I13" s="19" t="s">
        <v>27</v>
      </c>
      <c r="J13" s="137">
        <f>F13</f>
        <v>130000</v>
      </c>
      <c r="K13" s="130">
        <v>0</v>
      </c>
      <c r="L13" s="132">
        <v>0</v>
      </c>
      <c r="M13" s="132">
        <v>0</v>
      </c>
      <c r="N13" s="132">
        <v>0</v>
      </c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</row>
    <row r="14" spans="1:31" s="1" customFormat="1" ht="12.75" x14ac:dyDescent="0.2">
      <c r="A14" s="9" t="s">
        <v>138</v>
      </c>
      <c r="B14" s="6">
        <v>22</v>
      </c>
      <c r="C14" s="8" t="s">
        <v>10</v>
      </c>
      <c r="D14" s="6" t="s">
        <v>26</v>
      </c>
      <c r="E14" s="19"/>
      <c r="F14" s="65">
        <v>250000</v>
      </c>
      <c r="G14" s="8" t="s">
        <v>4</v>
      </c>
      <c r="H14" s="3">
        <f t="shared" ref="H14:H22" si="0">SUM(J14:AE14)-F14</f>
        <v>34375</v>
      </c>
      <c r="I14" s="8">
        <v>10</v>
      </c>
      <c r="J14" s="137">
        <v>0</v>
      </c>
      <c r="K14" s="133">
        <f t="shared" ref="K14:K16" si="1">($F14/$I14)+($F14*($I14-0)/$I14*$F$4)</f>
        <v>31250</v>
      </c>
      <c r="L14" s="133">
        <f t="shared" ref="L14:L16" si="2">($F14/$I14)+($F14*($I14-1)/$I14*$F$4)</f>
        <v>30625</v>
      </c>
      <c r="M14" s="131">
        <f t="shared" ref="M14:M16" si="3">($F14/$I14)+($F14*($I14-2)/$I14*$F$4)</f>
        <v>30000</v>
      </c>
      <c r="N14" s="131">
        <f t="shared" ref="N14:N16" si="4">($F14/$I14)+($F14*($I14-3)/$I14*$F$4)</f>
        <v>29375</v>
      </c>
      <c r="O14" s="139">
        <f t="shared" ref="O14:O16" si="5">($F14/$I14)+($F14*($I14-4)/$I14*$F$4)</f>
        <v>28750</v>
      </c>
      <c r="P14" s="139">
        <f t="shared" ref="P14:P16" si="6">($F14/$I14)+($F14*($I14-5)/$I14*$F$4)</f>
        <v>28125</v>
      </c>
      <c r="Q14" s="139">
        <f t="shared" ref="Q14:Q16" si="7">($F14/$I14)+($F14*($I14-6)/$I14*$F$4)</f>
        <v>27500</v>
      </c>
      <c r="R14" s="139">
        <f t="shared" ref="R14:R16" si="8">($F14/$I14)+($F14*($I14-7)/$I14*$F$4)</f>
        <v>26875</v>
      </c>
      <c r="S14" s="139">
        <f t="shared" ref="S14:S16" si="9">($F14/$I14)+($F14*($I14-8)/$I14*$F$4)</f>
        <v>26250</v>
      </c>
      <c r="T14" s="139">
        <f t="shared" ref="T14:T16" si="10">($F14/$I14)+($F14*($I14-9)/$I14*$F$4)</f>
        <v>25625</v>
      </c>
      <c r="U14" s="139">
        <v>0</v>
      </c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</row>
    <row r="15" spans="1:31" s="1" customFormat="1" ht="12.75" x14ac:dyDescent="0.2">
      <c r="A15" s="9" t="s">
        <v>60</v>
      </c>
      <c r="B15" s="6">
        <v>22</v>
      </c>
      <c r="C15" s="8" t="s">
        <v>10</v>
      </c>
      <c r="D15" s="6" t="s">
        <v>26</v>
      </c>
      <c r="E15" s="19"/>
      <c r="F15" s="18">
        <v>1000000</v>
      </c>
      <c r="G15" s="8" t="s">
        <v>4</v>
      </c>
      <c r="H15" s="3">
        <f t="shared" si="0"/>
        <v>200000</v>
      </c>
      <c r="I15" s="8">
        <v>15</v>
      </c>
      <c r="J15" s="137">
        <v>0</v>
      </c>
      <c r="K15" s="131">
        <f t="shared" si="1"/>
        <v>91666.666666666672</v>
      </c>
      <c r="L15" s="131">
        <f t="shared" si="2"/>
        <v>90000</v>
      </c>
      <c r="M15" s="131">
        <f t="shared" si="3"/>
        <v>88333.333333333343</v>
      </c>
      <c r="N15" s="131">
        <f t="shared" si="4"/>
        <v>86666.666666666672</v>
      </c>
      <c r="O15" s="139">
        <f t="shared" si="5"/>
        <v>85000</v>
      </c>
      <c r="P15" s="139">
        <f t="shared" si="6"/>
        <v>83333.333333333343</v>
      </c>
      <c r="Q15" s="139">
        <f t="shared" si="7"/>
        <v>81666.666666666672</v>
      </c>
      <c r="R15" s="139">
        <f t="shared" si="8"/>
        <v>80000</v>
      </c>
      <c r="S15" s="139">
        <f t="shared" si="9"/>
        <v>78333.333333333343</v>
      </c>
      <c r="T15" s="139">
        <f t="shared" si="10"/>
        <v>76666.666666666672</v>
      </c>
      <c r="U15" s="139">
        <f>($F15/$I15)+($F15*($I15-10)/$I15*$F$4)</f>
        <v>75000</v>
      </c>
      <c r="V15" s="139">
        <f>($F15/$I15)+($F15*($I15-11)/$I15*$F$4)</f>
        <v>73333.333333333343</v>
      </c>
      <c r="W15" s="139">
        <f>($F15/$I15)+($F15*($I15-12)/$I15*$F$4)</f>
        <v>71666.666666666672</v>
      </c>
      <c r="X15" s="139">
        <f>($F15/$I15)+($F15*($I15-13)/$I15*$F$4)</f>
        <v>70000</v>
      </c>
      <c r="Y15" s="139">
        <f>($F15/$I15)+($F15*($I15-14)/$I15*$F$4)</f>
        <v>68333.333333333343</v>
      </c>
      <c r="Z15" s="139">
        <v>0</v>
      </c>
      <c r="AA15" s="139"/>
      <c r="AB15" s="139"/>
      <c r="AC15" s="139"/>
      <c r="AD15" s="139"/>
      <c r="AE15" s="139"/>
    </row>
    <row r="16" spans="1:31" s="1" customFormat="1" ht="12.75" x14ac:dyDescent="0.2">
      <c r="A16" s="9" t="s">
        <v>139</v>
      </c>
      <c r="B16" s="6">
        <v>22</v>
      </c>
      <c r="C16" s="8" t="s">
        <v>10</v>
      </c>
      <c r="D16" s="6" t="s">
        <v>24</v>
      </c>
      <c r="E16" s="19"/>
      <c r="F16" s="65">
        <v>160000</v>
      </c>
      <c r="G16" s="8" t="s">
        <v>4</v>
      </c>
      <c r="H16" s="3">
        <f t="shared" si="0"/>
        <v>22000</v>
      </c>
      <c r="I16" s="19">
        <v>10</v>
      </c>
      <c r="J16" s="137">
        <v>0</v>
      </c>
      <c r="K16" s="133">
        <f t="shared" si="1"/>
        <v>20000</v>
      </c>
      <c r="L16" s="133">
        <f t="shared" si="2"/>
        <v>19600</v>
      </c>
      <c r="M16" s="131">
        <f t="shared" si="3"/>
        <v>19200</v>
      </c>
      <c r="N16" s="131">
        <f t="shared" si="4"/>
        <v>18800</v>
      </c>
      <c r="O16" s="139">
        <f t="shared" si="5"/>
        <v>18400</v>
      </c>
      <c r="P16" s="139">
        <f t="shared" si="6"/>
        <v>18000</v>
      </c>
      <c r="Q16" s="139">
        <f t="shared" si="7"/>
        <v>17600</v>
      </c>
      <c r="R16" s="139">
        <f t="shared" si="8"/>
        <v>17200</v>
      </c>
      <c r="S16" s="139">
        <f t="shared" si="9"/>
        <v>16800</v>
      </c>
      <c r="T16" s="139">
        <f t="shared" si="10"/>
        <v>16400</v>
      </c>
      <c r="U16" s="139">
        <v>0</v>
      </c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</row>
    <row r="17" spans="1:41" s="1" customFormat="1" ht="12.75" x14ac:dyDescent="0.2">
      <c r="A17" s="9" t="s">
        <v>140</v>
      </c>
      <c r="B17" s="6">
        <v>22</v>
      </c>
      <c r="C17" s="8" t="s">
        <v>10</v>
      </c>
      <c r="D17" s="6" t="s">
        <v>26</v>
      </c>
      <c r="E17" s="19"/>
      <c r="F17" s="65">
        <v>30000</v>
      </c>
      <c r="G17" s="8" t="s">
        <v>163</v>
      </c>
      <c r="H17" s="3">
        <v>0</v>
      </c>
      <c r="I17" s="19" t="s">
        <v>27</v>
      </c>
      <c r="J17" s="137">
        <f>F17</f>
        <v>30000</v>
      </c>
      <c r="K17" s="130">
        <v>0</v>
      </c>
      <c r="L17" s="132">
        <v>0</v>
      </c>
      <c r="M17" s="132">
        <v>0</v>
      </c>
      <c r="N17" s="132">
        <v>0</v>
      </c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</row>
    <row r="18" spans="1:41" s="1" customFormat="1" ht="12.75" x14ac:dyDescent="0.2">
      <c r="A18" s="9" t="s">
        <v>62</v>
      </c>
      <c r="B18" s="6">
        <v>22</v>
      </c>
      <c r="C18" s="8" t="s">
        <v>10</v>
      </c>
      <c r="D18" s="6" t="s">
        <v>24</v>
      </c>
      <c r="E18" s="19"/>
      <c r="F18" s="65">
        <v>175000</v>
      </c>
      <c r="G18" s="8" t="s">
        <v>4</v>
      </c>
      <c r="H18" s="3">
        <f t="shared" si="0"/>
        <v>24062.5</v>
      </c>
      <c r="I18" s="19">
        <v>10</v>
      </c>
      <c r="J18" s="137">
        <v>0</v>
      </c>
      <c r="K18" s="133">
        <f t="shared" ref="K18" si="11">($F18/$I18)+($F18*($I18-0)/$I18*$F$4)</f>
        <v>21875</v>
      </c>
      <c r="L18" s="133">
        <f t="shared" ref="L18" si="12">($F18/$I18)+($F18*($I18-1)/$I18*$F$4)</f>
        <v>21437.5</v>
      </c>
      <c r="M18" s="131">
        <f t="shared" ref="M18" si="13">($F18/$I18)+($F18*($I18-2)/$I18*$F$4)</f>
        <v>21000</v>
      </c>
      <c r="N18" s="131">
        <f t="shared" ref="N18" si="14">($F18/$I18)+($F18*($I18-3)/$I18*$F$4)</f>
        <v>20562.5</v>
      </c>
      <c r="O18" s="139">
        <f t="shared" ref="O18" si="15">($F18/$I18)+($F18*($I18-4)/$I18*$F$4)</f>
        <v>20125</v>
      </c>
      <c r="P18" s="139">
        <f t="shared" ref="P18" si="16">($F18/$I18)+($F18*($I18-5)/$I18*$F$4)</f>
        <v>19687.5</v>
      </c>
      <c r="Q18" s="139">
        <f t="shared" ref="Q18" si="17">($F18/$I18)+($F18*($I18-6)/$I18*$F$4)</f>
        <v>19250</v>
      </c>
      <c r="R18" s="139">
        <f t="shared" ref="R18" si="18">($F18/$I18)+($F18*($I18-7)/$I18*$F$4)</f>
        <v>18812.5</v>
      </c>
      <c r="S18" s="139">
        <f t="shared" ref="S18" si="19">($F18/$I18)+($F18*($I18-8)/$I18*$F$4)</f>
        <v>18375</v>
      </c>
      <c r="T18" s="139">
        <f t="shared" ref="T18" si="20">($F18/$I18)+($F18*($I18-9)/$I18*$F$4)</f>
        <v>17937.5</v>
      </c>
      <c r="U18" s="139">
        <v>0</v>
      </c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</row>
    <row r="19" spans="1:41" s="1" customFormat="1" ht="12.75" x14ac:dyDescent="0.2">
      <c r="A19" s="9" t="s">
        <v>11</v>
      </c>
      <c r="B19" s="7">
        <v>22</v>
      </c>
      <c r="C19" s="8" t="s">
        <v>143</v>
      </c>
      <c r="D19" s="6" t="s">
        <v>20</v>
      </c>
      <c r="E19" s="19"/>
      <c r="F19" s="18">
        <v>6500000</v>
      </c>
      <c r="G19" s="8" t="s">
        <v>4</v>
      </c>
      <c r="H19" s="3">
        <f>SUM(J19:AN19)-F19</f>
        <v>2518750</v>
      </c>
      <c r="I19" s="8">
        <v>30</v>
      </c>
      <c r="J19" s="137">
        <v>0</v>
      </c>
      <c r="K19" s="131">
        <f>($F19/$I19)+($F19*($I19-0)/$I19*$F$4)</f>
        <v>379166.66666666663</v>
      </c>
      <c r="L19" s="131">
        <f>($F19/$I19)+($F19*($I19-1)/$I19*$F$4)</f>
        <v>373750</v>
      </c>
      <c r="M19" s="131">
        <f>($F19/$I19)+($F19*($I19-2)/$I19*$F$4)</f>
        <v>368333.33333333337</v>
      </c>
      <c r="N19" s="131">
        <f>($F19/$I19)+($F19*($I19-3)/$I19*$F$4)</f>
        <v>362916.66666666663</v>
      </c>
      <c r="O19" s="139">
        <f>($F19/$I19)+($F19*($I19-4)/$I19*$F$4)</f>
        <v>357500</v>
      </c>
      <c r="P19" s="139">
        <f>($F19/$I19)+($F19*($I19-5)/$I19*$F$4)</f>
        <v>352083.33333333337</v>
      </c>
      <c r="Q19" s="139">
        <f>($F19/$I19)+($F19*($I19-6)/$I19*$F$4)</f>
        <v>346666.66666666663</v>
      </c>
      <c r="R19" s="139">
        <f>($F19/$I19)+($F19*($I19-7)/$I19*$F$4)</f>
        <v>341250</v>
      </c>
      <c r="S19" s="139">
        <f>($F19/$I19)+($F19*($I19-8)/$I19*$F$4)</f>
        <v>335833.33333333337</v>
      </c>
      <c r="T19" s="139">
        <f>($F19/$I19)+($F19*($I19-9)/$I19*$F$4)</f>
        <v>330416.66666666663</v>
      </c>
      <c r="U19" s="139">
        <f>($F19/$I19)+($F19*($I19-10)/$I19*$F$4)</f>
        <v>325000</v>
      </c>
      <c r="V19" s="139">
        <f>($F19/$I19)+($F19*($I19-11)/$I19*$F$4)</f>
        <v>319583.33333333331</v>
      </c>
      <c r="W19" s="139">
        <f>($F19/$I19)+($F19*($I19-12)/$I19*$F$4)</f>
        <v>314166.66666666663</v>
      </c>
      <c r="X19" s="139">
        <f>($F19/$I19)+($F19*($I19-13)/$I19*$F$4)</f>
        <v>308750</v>
      </c>
      <c r="Y19" s="139">
        <f>($F19/$I19)+($F19*($I19-14)/$I19*$F$4)</f>
        <v>303333.33333333331</v>
      </c>
      <c r="Z19" s="139">
        <f>($F19/$I19)+($F19*($I19-15)/$I19*$F$4)</f>
        <v>297916.66666666663</v>
      </c>
      <c r="AA19" s="139">
        <f>($F19/$I19)+($F19*($I19-16)/$I19*$F$4)</f>
        <v>292500</v>
      </c>
      <c r="AB19" s="139">
        <f>($F19/$I19)+($F19*($I19-17)/$I19*$F$4)</f>
        <v>287083.33333333331</v>
      </c>
      <c r="AC19" s="139">
        <f>($F19/$I19)+($F19*($I19-18)/$I19*$F$4)</f>
        <v>281666.66666666663</v>
      </c>
      <c r="AD19" s="139">
        <f>($F19/$I19)+($F19*($I19-19)/$I19*$F$4)</f>
        <v>276250</v>
      </c>
      <c r="AE19" s="139">
        <f>($F19/$I19)+($F19*($I19-20)/$I19*$F$4)</f>
        <v>270833.33333333331</v>
      </c>
      <c r="AF19" s="139">
        <f>($F19/$I19)+($F19*($I19-21)/$I19*$F$4)</f>
        <v>265416.66666666663</v>
      </c>
      <c r="AG19" s="139">
        <f>($F19/$I19)+($F19*($I19-22)/$I19*$F$4)</f>
        <v>260000</v>
      </c>
      <c r="AH19" s="139">
        <f>($F19/$I19)+($F19*($I19-23)/$I19*$F$4)</f>
        <v>254583.33333333331</v>
      </c>
      <c r="AI19" s="139">
        <f>($F19/$I19)+($F19*($I19-24)/$I19*$F$4)</f>
        <v>249166.66666666666</v>
      </c>
      <c r="AJ19" s="139">
        <f>($F19/$I19)+($F19*($I19-25)/$I19*$F$4)</f>
        <v>243750</v>
      </c>
      <c r="AK19" s="139">
        <f>($F19/$I19)+($F19*($I19-26)/$I19*$F$4)</f>
        <v>238333.33333333331</v>
      </c>
      <c r="AL19" s="139">
        <f>($F19/$I19)+($F19*($I19-27)/$I19*$F$4)</f>
        <v>232916.66666666666</v>
      </c>
      <c r="AM19" s="139">
        <f>($F19/$I19)+($F19*($I19-28)/$I19*$F$4)</f>
        <v>227500</v>
      </c>
      <c r="AN19" s="139">
        <f>($F19/$I19)+($F19*($I19-29)/$I19*$F$4)</f>
        <v>222083.33333333331</v>
      </c>
      <c r="AO19" s="1">
        <v>0</v>
      </c>
    </row>
    <row r="20" spans="1:41" s="1" customFormat="1" ht="12.75" x14ac:dyDescent="0.2">
      <c r="A20" s="58" t="s">
        <v>141</v>
      </c>
      <c r="B20" s="6">
        <v>22</v>
      </c>
      <c r="C20" s="67" t="s">
        <v>23</v>
      </c>
      <c r="D20" s="6" t="s">
        <v>20</v>
      </c>
      <c r="E20" s="19"/>
      <c r="F20" s="68">
        <v>250000</v>
      </c>
      <c r="G20" s="67" t="s">
        <v>4</v>
      </c>
      <c r="H20" s="3">
        <f t="shared" si="0"/>
        <v>65625</v>
      </c>
      <c r="I20" s="67">
        <v>20</v>
      </c>
      <c r="J20" s="137">
        <v>0</v>
      </c>
      <c r="K20" s="131">
        <f>($F20/$I20)+($F20*($I20-0)/$I20*$F$4)</f>
        <v>18750</v>
      </c>
      <c r="L20" s="131">
        <f>($F20/$I20)+($F20*($I20-1)/$I20*$F$4)</f>
        <v>18437.5</v>
      </c>
      <c r="M20" s="131">
        <f>($F20/$I20)+($F20*($I20-2)/$I20*$F$4)</f>
        <v>18125</v>
      </c>
      <c r="N20" s="131">
        <f>($F20/$I20)+($F20*($I20-3)/$I20*$F$4)</f>
        <v>17812.5</v>
      </c>
      <c r="O20" s="139">
        <f>($F20/$I20)+($F20*($I20-4)/$I20*$F$4)</f>
        <v>17500</v>
      </c>
      <c r="P20" s="139">
        <f>($F20/$I20)+($F20*($I20-5)/$I20*$F$4)</f>
        <v>17187.5</v>
      </c>
      <c r="Q20" s="139">
        <f>($F20/$I20)+($F20*($I20-6)/$I20*$F$4)</f>
        <v>16875</v>
      </c>
      <c r="R20" s="139">
        <f>($F20/$I20)+($F20*($I20-7)/$I20*$F$4)</f>
        <v>16562.5</v>
      </c>
      <c r="S20" s="139">
        <f>($F20/$I20)+($F20*($I20-8)/$I20*$F$4)</f>
        <v>16250</v>
      </c>
      <c r="T20" s="139">
        <f>($F20/$I20)+($F20*($I20-9)/$I20*$F$4)</f>
        <v>15937.5</v>
      </c>
      <c r="U20" s="139">
        <f>($F20/$I20)+($F20*($I20-10)/$I20*$F$4)</f>
        <v>15625</v>
      </c>
      <c r="V20" s="139">
        <f>($F20/$I20)+($F20*($I20-11)/$I20*$F$4)</f>
        <v>15312.5</v>
      </c>
      <c r="W20" s="139">
        <f>($F20/$I20)+($F20*($I20-12)/$I20*$F$4)</f>
        <v>15000</v>
      </c>
      <c r="X20" s="139">
        <f>($F20/$I20)+($F20*($I20-13)/$I20*$F$4)</f>
        <v>14687.5</v>
      </c>
      <c r="Y20" s="139">
        <f>($F20/$I20)+($F20*($I20-14)/$I20*$F$4)</f>
        <v>14375</v>
      </c>
      <c r="Z20" s="139">
        <f>($F20/$I20)+($F20*($I20-15)/$I20*$F$4)</f>
        <v>14062.5</v>
      </c>
      <c r="AA20" s="139">
        <f>($F20/$I20)+($F20*($I20-16)/$I20*$F$4)</f>
        <v>13750</v>
      </c>
      <c r="AB20" s="139">
        <f>($F20/$I20)+($F20*($I20-17)/$I20*$F$4)</f>
        <v>13437.5</v>
      </c>
      <c r="AC20" s="139">
        <f>($F20/$I20)+($F20*($I20-18)/$I20*$F$4)</f>
        <v>13125</v>
      </c>
      <c r="AD20" s="139">
        <f>($F20/$I20)+($F20*($I20-19)/$I20*$F$4)</f>
        <v>12812.5</v>
      </c>
      <c r="AE20" s="139">
        <v>0</v>
      </c>
    </row>
    <row r="21" spans="1:41" s="1" customFormat="1" ht="12.75" x14ac:dyDescent="0.2">
      <c r="A21" s="58" t="s">
        <v>32</v>
      </c>
      <c r="B21" s="6">
        <v>22</v>
      </c>
      <c r="C21" s="67" t="s">
        <v>23</v>
      </c>
      <c r="D21" s="6" t="s">
        <v>20</v>
      </c>
      <c r="E21" s="19"/>
      <c r="F21" s="68">
        <v>47000</v>
      </c>
      <c r="G21" s="67" t="s">
        <v>4</v>
      </c>
      <c r="H21" s="3">
        <f>SUM(J21:AE21)-F21</f>
        <v>3525</v>
      </c>
      <c r="I21" s="67">
        <v>5</v>
      </c>
      <c r="J21" s="137">
        <v>0</v>
      </c>
      <c r="K21" s="133">
        <f>($F21/$I21)+($F21*($I21-0)/$I21*$F$4)</f>
        <v>10575</v>
      </c>
      <c r="L21" s="133">
        <f>($F21/$I21)+($F21*($I21-1)/$I21*$F$4)</f>
        <v>10340</v>
      </c>
      <c r="M21" s="131">
        <f>($F21/$I21)+($F21*($I21-2)/$I21*$F$4)</f>
        <v>10105</v>
      </c>
      <c r="N21" s="131">
        <f>($F21/$I21)+($F21*($I21-3)/$I21*$F$4)</f>
        <v>9870</v>
      </c>
      <c r="O21" s="139">
        <f>($F21/$I21)+($F21*($I21-4)/$I21*$F$4)</f>
        <v>9635</v>
      </c>
      <c r="P21" s="139">
        <v>0</v>
      </c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</row>
    <row r="22" spans="1:41" s="1" customFormat="1" ht="12.75" x14ac:dyDescent="0.2">
      <c r="A22" s="58" t="s">
        <v>142</v>
      </c>
      <c r="B22" s="7">
        <v>22</v>
      </c>
      <c r="C22" s="67" t="s">
        <v>23</v>
      </c>
      <c r="D22" s="6" t="s">
        <v>24</v>
      </c>
      <c r="E22" s="19"/>
      <c r="F22" s="68">
        <v>44000</v>
      </c>
      <c r="G22" s="67" t="s">
        <v>164</v>
      </c>
      <c r="H22" s="3">
        <f t="shared" si="0"/>
        <v>0</v>
      </c>
      <c r="I22" s="83" t="s">
        <v>27</v>
      </c>
      <c r="J22" s="137">
        <f>F22</f>
        <v>44000</v>
      </c>
      <c r="K22" s="133">
        <v>0</v>
      </c>
      <c r="L22" s="133">
        <v>0</v>
      </c>
      <c r="M22" s="131">
        <v>0</v>
      </c>
      <c r="N22" s="131">
        <v>0</v>
      </c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</row>
    <row r="23" spans="1:41" s="1" customFormat="1" ht="13.5" thickBot="1" x14ac:dyDescent="0.25">
      <c r="A23" s="58" t="s">
        <v>31</v>
      </c>
      <c r="B23" s="7">
        <v>22</v>
      </c>
      <c r="C23" s="67" t="s">
        <v>23</v>
      </c>
      <c r="D23" s="6" t="s">
        <v>20</v>
      </c>
      <c r="E23" s="19"/>
      <c r="F23" s="68">
        <v>25000</v>
      </c>
      <c r="G23" s="67" t="s">
        <v>164</v>
      </c>
      <c r="H23" s="3">
        <v>0</v>
      </c>
      <c r="I23" s="83" t="s">
        <v>27</v>
      </c>
      <c r="J23" s="137">
        <f>F23</f>
        <v>25000</v>
      </c>
      <c r="K23" s="130">
        <v>0</v>
      </c>
      <c r="L23" s="132">
        <v>0</v>
      </c>
      <c r="M23" s="132">
        <v>0</v>
      </c>
      <c r="N23" s="132">
        <v>0</v>
      </c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</row>
    <row r="24" spans="1:41" ht="15.75" thickBot="1" x14ac:dyDescent="0.3">
      <c r="A24" s="38"/>
      <c r="B24" s="38"/>
      <c r="C24" s="38"/>
      <c r="D24" s="38"/>
      <c r="E24" s="38"/>
      <c r="F24" s="39">
        <f>SUM(F7:F23)</f>
        <v>9169000</v>
      </c>
      <c r="G24" s="38"/>
      <c r="H24" s="39">
        <f>SUM(H7:H23)</f>
        <v>2952062.5</v>
      </c>
      <c r="I24" s="38"/>
      <c r="J24" s="134">
        <f t="shared" ref="J24:AE24" si="21">SUM(J7:J23)</f>
        <v>254000</v>
      </c>
      <c r="K24" s="134">
        <f t="shared" si="21"/>
        <v>671333.33333333326</v>
      </c>
      <c r="L24" s="134">
        <f t="shared" si="21"/>
        <v>660075</v>
      </c>
      <c r="M24" s="134">
        <f t="shared" si="21"/>
        <v>648816.66666666674</v>
      </c>
      <c r="N24" s="134">
        <f t="shared" si="21"/>
        <v>637558.33333333326</v>
      </c>
      <c r="O24" s="140">
        <f t="shared" si="21"/>
        <v>626300</v>
      </c>
      <c r="P24" s="140">
        <f t="shared" si="21"/>
        <v>524041.66666666674</v>
      </c>
      <c r="Q24" s="140">
        <f t="shared" si="21"/>
        <v>515058.33333333331</v>
      </c>
      <c r="R24" s="140">
        <f t="shared" si="21"/>
        <v>506075</v>
      </c>
      <c r="S24" s="140">
        <f t="shared" si="21"/>
        <v>497091.66666666674</v>
      </c>
      <c r="T24" s="140">
        <f t="shared" si="21"/>
        <v>488108.33333333331</v>
      </c>
      <c r="U24" s="140">
        <f t="shared" si="21"/>
        <v>415625</v>
      </c>
      <c r="V24" s="140">
        <f t="shared" si="21"/>
        <v>408229.16666666663</v>
      </c>
      <c r="W24" s="140">
        <f t="shared" si="21"/>
        <v>400833.33333333331</v>
      </c>
      <c r="X24" s="140">
        <f t="shared" si="21"/>
        <v>393437.5</v>
      </c>
      <c r="Y24" s="140">
        <f t="shared" si="21"/>
        <v>386041.66666666663</v>
      </c>
      <c r="Z24" s="140">
        <f t="shared" si="21"/>
        <v>311979.16666666663</v>
      </c>
      <c r="AA24" s="140">
        <f t="shared" si="21"/>
        <v>306250</v>
      </c>
      <c r="AB24" s="140">
        <f t="shared" si="21"/>
        <v>300520.83333333331</v>
      </c>
      <c r="AC24" s="140">
        <f t="shared" si="21"/>
        <v>294791.66666666663</v>
      </c>
      <c r="AD24" s="140">
        <f t="shared" si="21"/>
        <v>289062.5</v>
      </c>
      <c r="AE24" s="140">
        <f t="shared" si="21"/>
        <v>270833.33333333331</v>
      </c>
    </row>
    <row r="25" spans="1:41" x14ac:dyDescent="0.25">
      <c r="J25" s="136"/>
      <c r="K25" s="136"/>
      <c r="L25" s="136"/>
      <c r="M25" s="136"/>
      <c r="N25" s="136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</row>
    <row r="26" spans="1:41" x14ac:dyDescent="0.25">
      <c r="I26" s="21" t="s">
        <v>69</v>
      </c>
      <c r="J26" s="136">
        <f>J24-J27</f>
        <v>185000</v>
      </c>
      <c r="K26" s="136">
        <f t="shared" ref="K26:AE26" si="22">K24-K27</f>
        <v>642008.33333333326</v>
      </c>
      <c r="L26" s="136">
        <f t="shared" si="22"/>
        <v>631297.5</v>
      </c>
      <c r="M26" s="136">
        <f t="shared" si="22"/>
        <v>620586.66666666674</v>
      </c>
      <c r="N26" s="136">
        <f t="shared" si="22"/>
        <v>609875.83333333326</v>
      </c>
      <c r="O26" s="141">
        <f t="shared" si="22"/>
        <v>599165</v>
      </c>
      <c r="P26" s="141">
        <f t="shared" si="22"/>
        <v>506854.16666666674</v>
      </c>
      <c r="Q26" s="141">
        <f t="shared" si="22"/>
        <v>498183.33333333331</v>
      </c>
      <c r="R26" s="141">
        <f t="shared" si="22"/>
        <v>489512.5</v>
      </c>
      <c r="S26" s="141">
        <f t="shared" si="22"/>
        <v>480841.66666666674</v>
      </c>
      <c r="T26" s="141">
        <f t="shared" si="22"/>
        <v>472170.83333333331</v>
      </c>
      <c r="U26" s="141">
        <f t="shared" si="22"/>
        <v>400000</v>
      </c>
      <c r="V26" s="141">
        <f t="shared" si="22"/>
        <v>392916.66666666663</v>
      </c>
      <c r="W26" s="141">
        <f t="shared" si="22"/>
        <v>385833.33333333331</v>
      </c>
      <c r="X26" s="141">
        <f t="shared" si="22"/>
        <v>378750</v>
      </c>
      <c r="Y26" s="141">
        <f t="shared" si="22"/>
        <v>371666.66666666663</v>
      </c>
      <c r="Z26" s="141">
        <f t="shared" si="22"/>
        <v>297916.66666666663</v>
      </c>
      <c r="AA26" s="141">
        <f t="shared" si="22"/>
        <v>292500</v>
      </c>
      <c r="AB26" s="141">
        <f t="shared" si="22"/>
        <v>287083.33333333331</v>
      </c>
      <c r="AC26" s="141">
        <f t="shared" si="22"/>
        <v>281666.66666666663</v>
      </c>
      <c r="AD26" s="141">
        <f t="shared" si="22"/>
        <v>276250</v>
      </c>
      <c r="AE26" s="141">
        <f t="shared" si="22"/>
        <v>270833.33333333331</v>
      </c>
    </row>
    <row r="27" spans="1:41" x14ac:dyDescent="0.25">
      <c r="I27" s="21" t="s">
        <v>70</v>
      </c>
      <c r="J27" s="136">
        <f t="shared" ref="J27:AD27" si="23">SUMIF($C7:$C23,"School",J7:J23)</f>
        <v>69000</v>
      </c>
      <c r="K27" s="136">
        <f t="shared" si="23"/>
        <v>29325</v>
      </c>
      <c r="L27" s="136">
        <f t="shared" si="23"/>
        <v>28777.5</v>
      </c>
      <c r="M27" s="136">
        <f t="shared" si="23"/>
        <v>28230</v>
      </c>
      <c r="N27" s="136">
        <f t="shared" si="23"/>
        <v>27682.5</v>
      </c>
      <c r="O27" s="141">
        <f t="shared" si="23"/>
        <v>27135</v>
      </c>
      <c r="P27" s="141">
        <f t="shared" si="23"/>
        <v>17187.5</v>
      </c>
      <c r="Q27" s="141">
        <f t="shared" si="23"/>
        <v>16875</v>
      </c>
      <c r="R27" s="141">
        <f t="shared" si="23"/>
        <v>16562.5</v>
      </c>
      <c r="S27" s="141">
        <f t="shared" si="23"/>
        <v>16250</v>
      </c>
      <c r="T27" s="141">
        <f t="shared" si="23"/>
        <v>15937.5</v>
      </c>
      <c r="U27" s="141">
        <f t="shared" si="23"/>
        <v>15625</v>
      </c>
      <c r="V27" s="141">
        <f t="shared" si="23"/>
        <v>15312.5</v>
      </c>
      <c r="W27" s="141">
        <f t="shared" si="23"/>
        <v>15000</v>
      </c>
      <c r="X27" s="141">
        <f t="shared" si="23"/>
        <v>14687.5</v>
      </c>
      <c r="Y27" s="141">
        <f t="shared" si="23"/>
        <v>14375</v>
      </c>
      <c r="Z27" s="141">
        <f t="shared" si="23"/>
        <v>14062.5</v>
      </c>
      <c r="AA27" s="141">
        <f t="shared" si="23"/>
        <v>13750</v>
      </c>
      <c r="AB27" s="141">
        <f t="shared" si="23"/>
        <v>13437.5</v>
      </c>
      <c r="AC27" s="141">
        <f t="shared" si="23"/>
        <v>13125</v>
      </c>
      <c r="AD27" s="141">
        <f t="shared" si="23"/>
        <v>12812.5</v>
      </c>
      <c r="AE27" s="141">
        <f>SUM(AE20:AE23)</f>
        <v>0</v>
      </c>
    </row>
    <row r="28" spans="1:41" ht="15.75" thickBot="1" x14ac:dyDescent="0.3"/>
    <row r="29" spans="1:41" x14ac:dyDescent="0.25">
      <c r="F29" s="143">
        <f>SUMIF($G$7:$G$23,"Bond",$F$7:$F$23)</f>
        <v>8840000</v>
      </c>
      <c r="G29" s="87" t="s">
        <v>175</v>
      </c>
      <c r="H29" s="25"/>
      <c r="I29" s="25"/>
      <c r="J29" s="26"/>
    </row>
    <row r="30" spans="1:41" x14ac:dyDescent="0.25">
      <c r="F30" s="144">
        <f>SUMIF($G$7:$G$23,"Bond - taxable",$F$7:$F$23)</f>
        <v>0</v>
      </c>
      <c r="G30" s="88" t="s">
        <v>174</v>
      </c>
      <c r="H30" s="27"/>
      <c r="I30" s="27"/>
      <c r="J30" s="28"/>
    </row>
    <row r="31" spans="1:41" x14ac:dyDescent="0.25">
      <c r="F31" s="144">
        <f>SUMIF($G$7:$G$23,"general fund - Town",$F$7:$F$23)</f>
        <v>185000</v>
      </c>
      <c r="G31" s="42" t="s">
        <v>64</v>
      </c>
      <c r="H31" s="27"/>
      <c r="I31" s="27"/>
      <c r="J31" s="28"/>
    </row>
    <row r="32" spans="1:41" x14ac:dyDescent="0.25">
      <c r="F32" s="144">
        <f>SUMIF($G$7:$G$23,"general fund - School",$F$7:$F$23)</f>
        <v>69000</v>
      </c>
      <c r="G32" s="27" t="s">
        <v>65</v>
      </c>
      <c r="H32" s="27"/>
      <c r="I32" s="27"/>
      <c r="J32" s="28"/>
    </row>
    <row r="33" spans="6:10" x14ac:dyDescent="0.25">
      <c r="F33" s="144">
        <f>SUMIF($G$7:$G$23,"code fees",$F$7:$F$23)</f>
        <v>0</v>
      </c>
      <c r="G33" s="27" t="s">
        <v>152</v>
      </c>
      <c r="H33" s="27"/>
      <c r="I33" s="27"/>
      <c r="J33" s="28"/>
    </row>
    <row r="34" spans="6:10" x14ac:dyDescent="0.25">
      <c r="F34" s="144">
        <f>SUMIF($G$7:$G$23,"Harbor funds",$F$7:$F$23)</f>
        <v>75000</v>
      </c>
      <c r="G34" s="27" t="s">
        <v>66</v>
      </c>
      <c r="H34" s="27"/>
      <c r="I34" s="27"/>
      <c r="J34" s="28"/>
    </row>
    <row r="35" spans="6:10" ht="15.75" thickBot="1" x14ac:dyDescent="0.3">
      <c r="F35" s="145">
        <f>SUMIF($G$7:$G$23,"sohier park ent. fund",$F$7:$F$23)</f>
        <v>0</v>
      </c>
      <c r="G35" s="24" t="s">
        <v>67</v>
      </c>
      <c r="H35" s="24"/>
      <c r="I35" s="24"/>
      <c r="J35" s="29"/>
    </row>
    <row r="36" spans="6:10" ht="15.75" thickBot="1" x14ac:dyDescent="0.3">
      <c r="F36" s="146">
        <f>SUM(F29:F35)</f>
        <v>9169000</v>
      </c>
      <c r="G36" s="16" t="s">
        <v>93</v>
      </c>
      <c r="H36" s="30"/>
      <c r="I36" s="24"/>
      <c r="J36" s="29"/>
    </row>
    <row r="38" spans="6:10" s="129" customFormat="1" x14ac:dyDescent="0.25">
      <c r="F38" s="147">
        <f>F24-F36</f>
        <v>0</v>
      </c>
      <c r="G38" s="35" t="s">
        <v>72</v>
      </c>
      <c r="H38" s="35"/>
      <c r="I38" s="35"/>
      <c r="J38" s="35"/>
    </row>
  </sheetData>
  <pageMargins left="0.7" right="0.7" top="0.75" bottom="0.75" header="0.3" footer="0.3"/>
  <pageSetup paperSize="3" scale="2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E37"/>
  <sheetViews>
    <sheetView workbookViewId="0"/>
  </sheetViews>
  <sheetFormatPr defaultRowHeight="15" x14ac:dyDescent="0.25"/>
  <cols>
    <col min="1" max="1" width="59.7109375" customWidth="1"/>
    <col min="2" max="2" width="9.5703125" customWidth="1"/>
    <col min="3" max="3" width="20.7109375" customWidth="1"/>
    <col min="4" max="4" width="20.5703125" customWidth="1"/>
    <col min="5" max="5" width="10.5703125" hidden="1" customWidth="1"/>
    <col min="6" max="6" width="15.5703125" customWidth="1"/>
    <col min="7" max="7" width="18.7109375" customWidth="1"/>
    <col min="8" max="8" width="18.5703125" customWidth="1"/>
    <col min="9" max="9" width="9.5703125" customWidth="1"/>
    <col min="10" max="30" width="15.5703125" customWidth="1"/>
  </cols>
  <sheetData>
    <row r="1" spans="1:31" s="31" customFormat="1" ht="23.25" x14ac:dyDescent="0.35">
      <c r="A1" s="41" t="str">
        <f>'FY21 Capital Program'!A1</f>
        <v>Voter Approved: July 14, 2020</v>
      </c>
    </row>
    <row r="2" spans="1:31" ht="23.25" x14ac:dyDescent="0.35">
      <c r="A2" s="4" t="s">
        <v>73</v>
      </c>
      <c r="D2" s="163" t="s">
        <v>158</v>
      </c>
      <c r="E2" s="158"/>
      <c r="F2" s="159"/>
    </row>
    <row r="3" spans="1:31" ht="15.75" x14ac:dyDescent="0.25">
      <c r="A3" s="90">
        <f>'FY21 Capital Program'!A3</f>
        <v>44026</v>
      </c>
      <c r="D3" s="152" t="s">
        <v>159</v>
      </c>
      <c r="E3" s="164"/>
      <c r="F3" s="154">
        <f>'FY21 Capital Program'!F3</f>
        <v>0.03</v>
      </c>
    </row>
    <row r="4" spans="1:31" x14ac:dyDescent="0.25">
      <c r="D4" s="160" t="s">
        <v>160</v>
      </c>
      <c r="E4" s="161"/>
      <c r="F4" s="162">
        <f>'FY21 Capital Program'!F4</f>
        <v>2.5000000000000001E-2</v>
      </c>
      <c r="K4" s="22"/>
      <c r="L4" s="22"/>
      <c r="M4" s="22"/>
      <c r="N4" s="2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</row>
    <row r="5" spans="1:31" s="24" customFormat="1" ht="45.75" thickBot="1" x14ac:dyDescent="0.3">
      <c r="A5" s="16"/>
      <c r="B5" s="16"/>
      <c r="C5" s="16"/>
      <c r="D5" s="16"/>
      <c r="E5" s="16"/>
      <c r="F5" s="16"/>
      <c r="G5" s="16"/>
      <c r="H5" s="16"/>
      <c r="I5" s="16"/>
      <c r="J5" s="16"/>
      <c r="K5" s="61"/>
      <c r="L5" s="40" t="s">
        <v>28</v>
      </c>
      <c r="M5" s="61"/>
      <c r="N5" s="61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</row>
    <row r="6" spans="1:31" ht="30.75" thickBot="1" x14ac:dyDescent="0.3">
      <c r="A6" s="15" t="s">
        <v>12</v>
      </c>
      <c r="B6" s="15" t="s">
        <v>29</v>
      </c>
      <c r="C6" s="15" t="s">
        <v>18</v>
      </c>
      <c r="D6" s="15" t="s">
        <v>19</v>
      </c>
      <c r="E6" s="15" t="s">
        <v>15</v>
      </c>
      <c r="F6" s="15" t="s">
        <v>6</v>
      </c>
      <c r="G6" s="15" t="s">
        <v>0</v>
      </c>
      <c r="H6" s="15" t="s">
        <v>71</v>
      </c>
      <c r="I6" s="15" t="s">
        <v>5</v>
      </c>
      <c r="J6" s="15" t="s">
        <v>3</v>
      </c>
      <c r="K6" s="59" t="s">
        <v>33</v>
      </c>
      <c r="L6" s="59" t="s">
        <v>34</v>
      </c>
      <c r="M6" s="59" t="s">
        <v>35</v>
      </c>
      <c r="N6" s="59" t="s">
        <v>36</v>
      </c>
      <c r="O6" s="60" t="s">
        <v>37</v>
      </c>
      <c r="P6" s="60" t="s">
        <v>38</v>
      </c>
      <c r="Q6" s="60" t="s">
        <v>39</v>
      </c>
      <c r="R6" s="60" t="s">
        <v>40</v>
      </c>
      <c r="S6" s="60" t="s">
        <v>41</v>
      </c>
      <c r="T6" s="60" t="s">
        <v>42</v>
      </c>
      <c r="U6" s="60" t="s">
        <v>43</v>
      </c>
      <c r="V6" s="60" t="s">
        <v>44</v>
      </c>
      <c r="W6" s="60" t="s">
        <v>45</v>
      </c>
      <c r="X6" s="60" t="s">
        <v>46</v>
      </c>
      <c r="Y6" s="60" t="s">
        <v>47</v>
      </c>
      <c r="Z6" s="60" t="s">
        <v>48</v>
      </c>
      <c r="AA6" s="60" t="s">
        <v>49</v>
      </c>
      <c r="AB6" s="60" t="s">
        <v>50</v>
      </c>
      <c r="AC6" s="60" t="s">
        <v>51</v>
      </c>
      <c r="AD6" s="60" t="s">
        <v>59</v>
      </c>
    </row>
    <row r="7" spans="1:31" s="1" customFormat="1" ht="12.75" x14ac:dyDescent="0.2">
      <c r="A7" s="9" t="s">
        <v>144</v>
      </c>
      <c r="B7" s="6">
        <v>23</v>
      </c>
      <c r="C7" s="8" t="s">
        <v>132</v>
      </c>
      <c r="D7" s="6" t="s">
        <v>24</v>
      </c>
      <c r="E7" s="64"/>
      <c r="F7" s="65">
        <v>37000</v>
      </c>
      <c r="G7" s="8" t="s">
        <v>151</v>
      </c>
      <c r="H7" s="115">
        <v>0</v>
      </c>
      <c r="I7" s="19" t="s">
        <v>27</v>
      </c>
      <c r="J7" s="137">
        <v>0</v>
      </c>
      <c r="K7" s="132">
        <v>0</v>
      </c>
      <c r="L7" s="132">
        <v>0</v>
      </c>
      <c r="M7" s="132">
        <v>0</v>
      </c>
      <c r="N7" s="132">
        <v>0</v>
      </c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3"/>
    </row>
    <row r="8" spans="1:31" s="1" customFormat="1" ht="12.75" x14ac:dyDescent="0.2">
      <c r="A8" s="9" t="s">
        <v>150</v>
      </c>
      <c r="B8" s="6">
        <v>23</v>
      </c>
      <c r="C8" s="8" t="s">
        <v>133</v>
      </c>
      <c r="D8" s="6" t="s">
        <v>24</v>
      </c>
      <c r="E8" s="19"/>
      <c r="F8" s="18">
        <v>165000</v>
      </c>
      <c r="G8" s="8" t="s">
        <v>4</v>
      </c>
      <c r="H8" s="3">
        <f>SUM(J8:AD8)-F8</f>
        <v>22687.5</v>
      </c>
      <c r="I8" s="19">
        <v>10</v>
      </c>
      <c r="J8" s="137">
        <v>0</v>
      </c>
      <c r="K8" s="131">
        <f>($F8/$I8)+($F8*($I8-0)/$I8*$F$4)</f>
        <v>20625</v>
      </c>
      <c r="L8" s="131">
        <f>($F8/$I8)+($F8*($I8-1)/$I8*$F$4)</f>
        <v>20212.5</v>
      </c>
      <c r="M8" s="131">
        <f>($F8/$I8)+($F8*($I8-2)/$I8*$F$4)</f>
        <v>19800</v>
      </c>
      <c r="N8" s="131">
        <f>($F8/$I8)+($F8*($I8-3)/$I8*$F$4)</f>
        <v>19387.5</v>
      </c>
      <c r="O8" s="139">
        <f>($F8/$I8)+($F8*($I8-4)/$I8*$F$4)</f>
        <v>18975</v>
      </c>
      <c r="P8" s="139">
        <f>($F8/$I8)+($F8*($I8-5)/$I8*$F$4)</f>
        <v>18562.5</v>
      </c>
      <c r="Q8" s="139">
        <f>($F8/$I8)+($F8*($I8-6)/$I8*$F$4)</f>
        <v>18150</v>
      </c>
      <c r="R8" s="139">
        <f>($F8/$I8)+($F8*($I8-7)/$I8*$F$4)</f>
        <v>17737.5</v>
      </c>
      <c r="S8" s="139">
        <f>($F8/$I8)+($F8*($I8-8)/$I8*$F$4)</f>
        <v>17325</v>
      </c>
      <c r="T8" s="139">
        <f>($F8/$I8)+($F8*($I8-9)/$I8*$F$4)</f>
        <v>16912.5</v>
      </c>
      <c r="U8" s="139">
        <v>0</v>
      </c>
      <c r="V8" s="139"/>
      <c r="W8" s="139"/>
      <c r="X8" s="139"/>
      <c r="Y8" s="139"/>
      <c r="Z8" s="139"/>
      <c r="AA8" s="139"/>
      <c r="AB8" s="139"/>
      <c r="AC8" s="139"/>
      <c r="AD8" s="139"/>
      <c r="AE8" s="133"/>
    </row>
    <row r="9" spans="1:31" s="1" customFormat="1" ht="12.75" x14ac:dyDescent="0.2">
      <c r="A9" s="9" t="s">
        <v>106</v>
      </c>
      <c r="B9" s="6">
        <v>23</v>
      </c>
      <c r="C9" s="8" t="s">
        <v>96</v>
      </c>
      <c r="D9" s="6" t="s">
        <v>21</v>
      </c>
      <c r="E9" s="64"/>
      <c r="F9" s="18">
        <v>56000</v>
      </c>
      <c r="G9" s="8" t="s">
        <v>4</v>
      </c>
      <c r="H9" s="3">
        <f>SUM(J9:AD9)-F9</f>
        <v>4200</v>
      </c>
      <c r="I9" s="8">
        <v>5</v>
      </c>
      <c r="J9" s="137">
        <v>0</v>
      </c>
      <c r="K9" s="131">
        <f>($F9/$I9)+($F9*($I9-0)/$I9*$F$4)</f>
        <v>12600</v>
      </c>
      <c r="L9" s="131">
        <f>($F9/$I9)+($F9*($I9-1)/$I9*$F$4)</f>
        <v>12320</v>
      </c>
      <c r="M9" s="131">
        <f>($F9/$I9)+($F9*($I9-2)/$I9*$F$4)</f>
        <v>12040</v>
      </c>
      <c r="N9" s="131">
        <f>($F9/$I9)+($F9*($I9-3)/$I9*$F$4)</f>
        <v>11760</v>
      </c>
      <c r="O9" s="139">
        <f>($F9/$I9)+($F9*($I9-4)/$I9*$F$4)</f>
        <v>11480</v>
      </c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3"/>
    </row>
    <row r="10" spans="1:31" s="1" customFormat="1" ht="12.75" x14ac:dyDescent="0.2">
      <c r="A10" s="9" t="s">
        <v>168</v>
      </c>
      <c r="B10" s="6">
        <v>23</v>
      </c>
      <c r="C10" s="8" t="s">
        <v>8</v>
      </c>
      <c r="D10" s="6" t="s">
        <v>20</v>
      </c>
      <c r="E10" s="64"/>
      <c r="F10" s="18">
        <v>100000</v>
      </c>
      <c r="G10" s="6" t="s">
        <v>173</v>
      </c>
      <c r="H10" s="3">
        <f>SUM(J10:AD10)-F10</f>
        <v>16500</v>
      </c>
      <c r="I10" s="8">
        <v>10</v>
      </c>
      <c r="J10" s="137">
        <v>0</v>
      </c>
      <c r="K10" s="131">
        <f>($F10/$I10)+($F10*($I10-0)/$I10*$F$3)</f>
        <v>13000</v>
      </c>
      <c r="L10" s="131">
        <f>($F10/$I10)+($F10*($I10-1)/$I10*$F$3)</f>
        <v>12700</v>
      </c>
      <c r="M10" s="131">
        <f>($F10/$I10)+($F10*($I10-2)/$I10*$F$3)</f>
        <v>12400</v>
      </c>
      <c r="N10" s="131">
        <f>($F10/$I10)+($F10*($I10-3)/$I10*$F$3)</f>
        <v>12100</v>
      </c>
      <c r="O10" s="139">
        <f>($F10/$I10)+($F10*($I10-4)/$I10*$F$3)</f>
        <v>11800</v>
      </c>
      <c r="P10" s="139">
        <f>($F10/$I10)+($F10*($I10-5)/$I10*$F$3)</f>
        <v>11500</v>
      </c>
      <c r="Q10" s="139">
        <f>($F10/$I10)+($F10*($I10-6)/$I10*$F$3)</f>
        <v>11200</v>
      </c>
      <c r="R10" s="139">
        <f>($F10/$I10)+($F10*($I10-7)/$I10*$F$3)</f>
        <v>10900</v>
      </c>
      <c r="S10" s="139">
        <f>($F10/$I10)+($F10*($I10-8)/$I10*$F$3)</f>
        <v>10600</v>
      </c>
      <c r="T10" s="139">
        <f>($F10/$I10)+($F10*($I10-9)/$I10*$F$3)</f>
        <v>10300</v>
      </c>
      <c r="U10" s="138">
        <v>0</v>
      </c>
      <c r="V10" s="138"/>
      <c r="W10" s="138"/>
      <c r="X10" s="138"/>
      <c r="Y10" s="138"/>
      <c r="Z10" s="138"/>
      <c r="AA10" s="138"/>
      <c r="AB10" s="138"/>
      <c r="AC10" s="138"/>
      <c r="AD10" s="138"/>
      <c r="AE10" s="133"/>
    </row>
    <row r="11" spans="1:31" s="1" customFormat="1" ht="12.75" x14ac:dyDescent="0.2">
      <c r="A11" s="9" t="s">
        <v>169</v>
      </c>
      <c r="B11" s="6">
        <v>23</v>
      </c>
      <c r="C11" s="8" t="s">
        <v>8</v>
      </c>
      <c r="D11" s="6" t="s">
        <v>20</v>
      </c>
      <c r="E11" s="64"/>
      <c r="F11" s="18">
        <v>150000</v>
      </c>
      <c r="G11" s="6" t="s">
        <v>173</v>
      </c>
      <c r="H11" s="3">
        <f>SUM(J11:AD11)-F11</f>
        <v>24750</v>
      </c>
      <c r="I11" s="8">
        <v>10</v>
      </c>
      <c r="J11" s="137">
        <v>0</v>
      </c>
      <c r="K11" s="131">
        <f>($F11/$I11)+($F11*($I11-0)/$I11*$F$3)</f>
        <v>19500</v>
      </c>
      <c r="L11" s="131">
        <f>($F11/$I11)+($F11*($I11-1)/$I11*$F$3)</f>
        <v>19050</v>
      </c>
      <c r="M11" s="131">
        <f>($F11/$I11)+($F11*($I11-2)/$I11*$F$3)</f>
        <v>18600</v>
      </c>
      <c r="N11" s="131">
        <f>($F11/$I11)+($F11*($I11-3)/$I11*$F$3)</f>
        <v>18150</v>
      </c>
      <c r="O11" s="139">
        <f>($F11/$I11)+($F11*($I11-4)/$I11*$F$3)</f>
        <v>17700</v>
      </c>
      <c r="P11" s="139">
        <f>($F11/$I11)+($F11*($I11-5)/$I11*$F$3)</f>
        <v>17250</v>
      </c>
      <c r="Q11" s="139">
        <f>($F11/$I11)+($F11*($I11-6)/$I11*$F$3)</f>
        <v>16800</v>
      </c>
      <c r="R11" s="139">
        <f>($F11/$I11)+($F11*($I11-7)/$I11*$F$3)</f>
        <v>16350</v>
      </c>
      <c r="S11" s="139">
        <f>($F11/$I11)+($F11*($I11-8)/$I11*$F$3)</f>
        <v>15900</v>
      </c>
      <c r="T11" s="139">
        <f>($F11/$I11)+($F11*($I11-9)/$I11*$F$3)</f>
        <v>15450</v>
      </c>
      <c r="U11" s="138">
        <v>0</v>
      </c>
      <c r="V11" s="138"/>
      <c r="W11" s="138"/>
      <c r="X11" s="138"/>
      <c r="Y11" s="138"/>
      <c r="Z11" s="138"/>
      <c r="AA11" s="138"/>
      <c r="AB11" s="138"/>
      <c r="AC11" s="138"/>
      <c r="AD11" s="138"/>
      <c r="AE11" s="133"/>
    </row>
    <row r="12" spans="1:31" s="1" customFormat="1" ht="12.75" x14ac:dyDescent="0.2">
      <c r="A12" s="9" t="s">
        <v>145</v>
      </c>
      <c r="B12" s="6">
        <v>23</v>
      </c>
      <c r="C12" s="8" t="s">
        <v>8</v>
      </c>
      <c r="D12" s="6" t="s">
        <v>20</v>
      </c>
      <c r="E12" s="64"/>
      <c r="F12" s="18">
        <v>400000</v>
      </c>
      <c r="G12" s="8" t="s">
        <v>4</v>
      </c>
      <c r="H12" s="3">
        <f>SUM(J12:AD12)-F12</f>
        <v>55000</v>
      </c>
      <c r="I12" s="19">
        <v>10</v>
      </c>
      <c r="J12" s="137">
        <v>0</v>
      </c>
      <c r="K12" s="131">
        <f>($F12/$I12)+($F12*($I12-0)/$I12*$F$4)</f>
        <v>50000</v>
      </c>
      <c r="L12" s="131">
        <f>($F12/$I12)+($F12*($I12-1)/$I12*$F$4)</f>
        <v>49000</v>
      </c>
      <c r="M12" s="131">
        <f>($F12/$I12)+($F12*($I12-2)/$I12*$F$4)</f>
        <v>48000</v>
      </c>
      <c r="N12" s="131">
        <f>($F12/$I12)+($F12*($I12-3)/$I12*$F$4)</f>
        <v>47000</v>
      </c>
      <c r="O12" s="139">
        <f>($F12/$I12)+($F12*($I12-4)/$I12*$F$4)</f>
        <v>46000</v>
      </c>
      <c r="P12" s="139">
        <f>($F12/$I12)+($F12*($I12-5)/$I12*$F$4)</f>
        <v>45000</v>
      </c>
      <c r="Q12" s="139">
        <f>($F12/$I12)+($F12*($I12-6)/$I12*$F$4)</f>
        <v>44000</v>
      </c>
      <c r="R12" s="139">
        <f>($F12/$I12)+($F12*($I12-7)/$I12*$F$4)</f>
        <v>43000</v>
      </c>
      <c r="S12" s="139">
        <f>($F12/$I12)+($F12*($I12-8)/$I12*$F$4)</f>
        <v>42000</v>
      </c>
      <c r="T12" s="139">
        <f>($F12/$I12)+($F12*($I12-9)/$I12*$F$4)</f>
        <v>41000</v>
      </c>
      <c r="U12" s="138">
        <v>0</v>
      </c>
      <c r="V12" s="138"/>
      <c r="W12" s="138"/>
      <c r="X12" s="138"/>
      <c r="Y12" s="138"/>
      <c r="Z12" s="138"/>
      <c r="AA12" s="138"/>
      <c r="AB12" s="138"/>
      <c r="AC12" s="138"/>
      <c r="AD12" s="138"/>
      <c r="AE12" s="133"/>
    </row>
    <row r="13" spans="1:31" s="1" customFormat="1" ht="12.75" x14ac:dyDescent="0.2">
      <c r="A13" s="9" t="s">
        <v>170</v>
      </c>
      <c r="B13" s="6">
        <v>23</v>
      </c>
      <c r="C13" s="8" t="s">
        <v>8</v>
      </c>
      <c r="D13" s="6" t="s">
        <v>24</v>
      </c>
      <c r="E13" s="64"/>
      <c r="F13" s="65">
        <v>20000</v>
      </c>
      <c r="G13" s="6" t="s">
        <v>163</v>
      </c>
      <c r="H13" s="3">
        <f t="shared" ref="H13:H22" si="0">SUM(J13:AD13)-F13</f>
        <v>0</v>
      </c>
      <c r="I13" s="19" t="s">
        <v>27</v>
      </c>
      <c r="J13" s="137">
        <f>F13</f>
        <v>20000</v>
      </c>
      <c r="K13" s="132">
        <v>0</v>
      </c>
      <c r="L13" s="132">
        <v>0</v>
      </c>
      <c r="M13" s="132">
        <v>0</v>
      </c>
      <c r="N13" s="132">
        <v>0</v>
      </c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3"/>
    </row>
    <row r="14" spans="1:31" s="1" customFormat="1" ht="12.75" x14ac:dyDescent="0.2">
      <c r="A14" s="9" t="s">
        <v>25</v>
      </c>
      <c r="B14" s="6">
        <v>23</v>
      </c>
      <c r="C14" s="8" t="s">
        <v>9</v>
      </c>
      <c r="D14" s="6" t="s">
        <v>24</v>
      </c>
      <c r="E14" s="64"/>
      <c r="F14" s="18">
        <v>130000</v>
      </c>
      <c r="G14" s="6" t="s">
        <v>163</v>
      </c>
      <c r="H14" s="3">
        <f t="shared" si="0"/>
        <v>0</v>
      </c>
      <c r="I14" s="19" t="s">
        <v>27</v>
      </c>
      <c r="J14" s="137">
        <f>F14</f>
        <v>130000</v>
      </c>
      <c r="K14" s="132">
        <v>0</v>
      </c>
      <c r="L14" s="132">
        <v>0</v>
      </c>
      <c r="M14" s="132">
        <v>0</v>
      </c>
      <c r="N14" s="132">
        <v>0</v>
      </c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3"/>
    </row>
    <row r="15" spans="1:31" s="1" customFormat="1" ht="12.75" x14ac:dyDescent="0.2">
      <c r="A15" s="9" t="s">
        <v>146</v>
      </c>
      <c r="B15" s="6">
        <v>23</v>
      </c>
      <c r="C15" s="8" t="s">
        <v>10</v>
      </c>
      <c r="D15" s="6" t="s">
        <v>26</v>
      </c>
      <c r="E15" s="64"/>
      <c r="F15" s="65">
        <v>1500000</v>
      </c>
      <c r="G15" s="8" t="s">
        <v>4</v>
      </c>
      <c r="H15" s="3">
        <f t="shared" si="0"/>
        <v>393750</v>
      </c>
      <c r="I15" s="8">
        <v>20</v>
      </c>
      <c r="J15" s="137">
        <v>0</v>
      </c>
      <c r="K15" s="131">
        <f>($F15/$I15)+($F15*($I15-0)/$I15*$F$4)</f>
        <v>112500</v>
      </c>
      <c r="L15" s="131">
        <f t="shared" ref="L15:L20" si="1">($F15/$I15)+($F15*($I15-1)/$I15*$F$4)</f>
        <v>110625</v>
      </c>
      <c r="M15" s="131">
        <f t="shared" ref="M15:M20" si="2">($F15/$I15)+($F15*($I15-2)/$I15*$F$4)</f>
        <v>108750</v>
      </c>
      <c r="N15" s="131">
        <f t="shared" ref="N15:N20" si="3">($F15/$I15)+($F15*($I15-3)/$I15*$F$4)</f>
        <v>106875</v>
      </c>
      <c r="O15" s="139">
        <f t="shared" ref="O15:O20" si="4">($F15/$I15)+($F15*($I15-4)/$I15*$F$4)</f>
        <v>105000</v>
      </c>
      <c r="P15" s="139">
        <f t="shared" ref="P15:P20" si="5">($F15/$I15)+($F15*($I15-5)/$I15*$F$4)</f>
        <v>103125</v>
      </c>
      <c r="Q15" s="139">
        <f t="shared" ref="Q15:Q20" si="6">($F15/$I15)+($F15*($I15-6)/$I15*$F$4)</f>
        <v>101250</v>
      </c>
      <c r="R15" s="139">
        <f t="shared" ref="R15:R20" si="7">($F15/$I15)+($F15*($I15-7)/$I15*$F$4)</f>
        <v>99375</v>
      </c>
      <c r="S15" s="139">
        <f t="shared" ref="S15:S20" si="8">($F15/$I15)+($F15*($I15-8)/$I15*$F$4)</f>
        <v>97500</v>
      </c>
      <c r="T15" s="139">
        <f t="shared" ref="T15:T20" si="9">($F15/$I15)+($F15*($I15-9)/$I15*$F$4)</f>
        <v>95625</v>
      </c>
      <c r="U15" s="139">
        <f>($F15/$I15)+($F15*($I15-10)/$I15*$F$4)</f>
        <v>93750</v>
      </c>
      <c r="V15" s="139">
        <f>($F15/$I15)+($F15*($I15-11)/$I15*$F$4)</f>
        <v>91875</v>
      </c>
      <c r="W15" s="139">
        <f>($F15/$I15)+($F15*($I15-12)/$I15*$F$4)</f>
        <v>90000</v>
      </c>
      <c r="X15" s="139">
        <f>($F15/$I15)+($F15*($I15-13)/$I15*$F$4)</f>
        <v>88125</v>
      </c>
      <c r="Y15" s="139">
        <f>($F15/$I15)+($F15*($I15-14)/$I15*$F$4)</f>
        <v>86250</v>
      </c>
      <c r="Z15" s="139">
        <f>($F15/$I15)+($F15*($I15-15)/$I15*$F$4)</f>
        <v>84375</v>
      </c>
      <c r="AA15" s="139">
        <f>($F15/$I15)+($F15*($I15-16)/$I15*$F$4)</f>
        <v>82500</v>
      </c>
      <c r="AB15" s="139">
        <f>($F15/$I15)+($F15*($I15-17)/$I15*$F$4)</f>
        <v>80625</v>
      </c>
      <c r="AC15" s="139">
        <f>($F15/$I15)+($F15*($I15-18)/$I15*$F$4)</f>
        <v>78750</v>
      </c>
      <c r="AD15" s="139">
        <f>($F15/$I15)+($F15*($I15-19)/$I15*$F$4)</f>
        <v>76875</v>
      </c>
      <c r="AE15" s="133">
        <v>0</v>
      </c>
    </row>
    <row r="16" spans="1:31" s="1" customFormat="1" ht="12.75" x14ac:dyDescent="0.2">
      <c r="A16" s="9" t="s">
        <v>60</v>
      </c>
      <c r="B16" s="6">
        <v>23</v>
      </c>
      <c r="C16" s="8" t="s">
        <v>10</v>
      </c>
      <c r="D16" s="6" t="s">
        <v>26</v>
      </c>
      <c r="E16" s="64"/>
      <c r="F16" s="18">
        <v>1000000</v>
      </c>
      <c r="G16" s="8" t="s">
        <v>4</v>
      </c>
      <c r="H16" s="3">
        <f t="shared" si="0"/>
        <v>200000</v>
      </c>
      <c r="I16" s="8">
        <v>15</v>
      </c>
      <c r="J16" s="137">
        <v>0</v>
      </c>
      <c r="K16" s="131">
        <f>($F16/$I16)+($F16*($I16-0)/$I16*$F$4)</f>
        <v>91666.666666666672</v>
      </c>
      <c r="L16" s="131">
        <f t="shared" si="1"/>
        <v>90000</v>
      </c>
      <c r="M16" s="131">
        <f t="shared" si="2"/>
        <v>88333.333333333343</v>
      </c>
      <c r="N16" s="131">
        <f t="shared" si="3"/>
        <v>86666.666666666672</v>
      </c>
      <c r="O16" s="139">
        <f t="shared" si="4"/>
        <v>85000</v>
      </c>
      <c r="P16" s="139">
        <f t="shared" si="5"/>
        <v>83333.333333333343</v>
      </c>
      <c r="Q16" s="139">
        <f t="shared" si="6"/>
        <v>81666.666666666672</v>
      </c>
      <c r="R16" s="139">
        <f t="shared" si="7"/>
        <v>80000</v>
      </c>
      <c r="S16" s="139">
        <f t="shared" si="8"/>
        <v>78333.333333333343</v>
      </c>
      <c r="T16" s="139">
        <f t="shared" si="9"/>
        <v>76666.666666666672</v>
      </c>
      <c r="U16" s="139">
        <f>($F16/$I16)+($F16*($I16-10)/$I16*$F$4)</f>
        <v>75000</v>
      </c>
      <c r="V16" s="139">
        <f>($F16/$I16)+($F16*($I16-11)/$I16*$F$4)</f>
        <v>73333.333333333343</v>
      </c>
      <c r="W16" s="139">
        <f>($F16/$I16)+($F16*($I16-12)/$I16*$F$4)</f>
        <v>71666.666666666672</v>
      </c>
      <c r="X16" s="139">
        <f>($F16/$I16)+($F16*($I16-13)/$I16*$F$4)</f>
        <v>70000</v>
      </c>
      <c r="Y16" s="139">
        <f>($F16/$I16)+($F16*($I16-14)/$I16*$F$4)</f>
        <v>68333.333333333343</v>
      </c>
      <c r="Z16" s="138">
        <v>0</v>
      </c>
      <c r="AA16" s="138"/>
      <c r="AB16" s="138"/>
      <c r="AC16" s="138"/>
      <c r="AD16" s="138"/>
      <c r="AE16" s="133"/>
    </row>
    <row r="17" spans="1:31" s="1" customFormat="1" ht="12.75" x14ac:dyDescent="0.2">
      <c r="A17" s="9" t="s">
        <v>147</v>
      </c>
      <c r="B17" s="6">
        <v>23</v>
      </c>
      <c r="C17" s="8" t="s">
        <v>10</v>
      </c>
      <c r="D17" s="6" t="s">
        <v>24</v>
      </c>
      <c r="E17" s="19"/>
      <c r="F17" s="65">
        <v>50000</v>
      </c>
      <c r="G17" s="6" t="s">
        <v>163</v>
      </c>
      <c r="H17" s="3">
        <f t="shared" si="0"/>
        <v>0</v>
      </c>
      <c r="I17" s="19" t="s">
        <v>27</v>
      </c>
      <c r="J17" s="137">
        <f>F17</f>
        <v>50000</v>
      </c>
      <c r="K17" s="131">
        <v>0</v>
      </c>
      <c r="L17" s="131">
        <v>0</v>
      </c>
      <c r="M17" s="131">
        <v>0</v>
      </c>
      <c r="N17" s="131">
        <v>0</v>
      </c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3"/>
    </row>
    <row r="18" spans="1:31" s="1" customFormat="1" ht="12.75" x14ac:dyDescent="0.2">
      <c r="A18" s="9" t="s">
        <v>63</v>
      </c>
      <c r="B18" s="6">
        <v>23</v>
      </c>
      <c r="C18" s="8" t="s">
        <v>10</v>
      </c>
      <c r="D18" s="6" t="s">
        <v>24</v>
      </c>
      <c r="E18" s="19"/>
      <c r="F18" s="65">
        <v>175000</v>
      </c>
      <c r="G18" s="6" t="s">
        <v>4</v>
      </c>
      <c r="H18" s="3">
        <f t="shared" si="0"/>
        <v>24062.5</v>
      </c>
      <c r="I18" s="19">
        <v>10</v>
      </c>
      <c r="J18" s="137">
        <v>0</v>
      </c>
      <c r="K18" s="131">
        <f>($F18/$I18)+($F18*($I18-0)/$I18*$F$4)</f>
        <v>21875</v>
      </c>
      <c r="L18" s="131">
        <f t="shared" si="1"/>
        <v>21437.5</v>
      </c>
      <c r="M18" s="131">
        <f t="shared" si="2"/>
        <v>21000</v>
      </c>
      <c r="N18" s="131">
        <f t="shared" si="3"/>
        <v>20562.5</v>
      </c>
      <c r="O18" s="139">
        <f t="shared" si="4"/>
        <v>20125</v>
      </c>
      <c r="P18" s="139">
        <f t="shared" si="5"/>
        <v>19687.5</v>
      </c>
      <c r="Q18" s="139">
        <f t="shared" si="6"/>
        <v>19250</v>
      </c>
      <c r="R18" s="139">
        <f t="shared" si="7"/>
        <v>18812.5</v>
      </c>
      <c r="S18" s="139">
        <f t="shared" si="8"/>
        <v>18375</v>
      </c>
      <c r="T18" s="139">
        <f t="shared" si="9"/>
        <v>17937.5</v>
      </c>
      <c r="U18" s="139">
        <v>0</v>
      </c>
      <c r="V18" s="139"/>
      <c r="W18" s="139"/>
      <c r="X18" s="139"/>
      <c r="Y18" s="139"/>
      <c r="Z18" s="139"/>
      <c r="AA18" s="139"/>
      <c r="AB18" s="139"/>
      <c r="AC18" s="139"/>
      <c r="AD18" s="139"/>
      <c r="AE18" s="133"/>
    </row>
    <row r="19" spans="1:31" s="1" customFormat="1" ht="12.75" x14ac:dyDescent="0.2">
      <c r="A19" s="58" t="s">
        <v>148</v>
      </c>
      <c r="B19" s="6">
        <v>23</v>
      </c>
      <c r="C19" s="67" t="s">
        <v>23</v>
      </c>
      <c r="D19" s="6" t="s">
        <v>20</v>
      </c>
      <c r="E19" s="19"/>
      <c r="F19" s="68">
        <v>125000</v>
      </c>
      <c r="G19" s="67" t="s">
        <v>4</v>
      </c>
      <c r="H19" s="3">
        <f t="shared" si="0"/>
        <v>17187.5</v>
      </c>
      <c r="I19" s="19">
        <v>10</v>
      </c>
      <c r="J19" s="137">
        <v>0</v>
      </c>
      <c r="K19" s="131">
        <f>($F19/$I19)+($F19*($I19-0)/$I19*$F$4)</f>
        <v>15625</v>
      </c>
      <c r="L19" s="131">
        <f t="shared" si="1"/>
        <v>15312.5</v>
      </c>
      <c r="M19" s="131">
        <f t="shared" si="2"/>
        <v>15000</v>
      </c>
      <c r="N19" s="131">
        <f t="shared" si="3"/>
        <v>14687.5</v>
      </c>
      <c r="O19" s="139">
        <f t="shared" si="4"/>
        <v>14375</v>
      </c>
      <c r="P19" s="139">
        <f t="shared" si="5"/>
        <v>14062.5</v>
      </c>
      <c r="Q19" s="139">
        <f t="shared" si="6"/>
        <v>13750</v>
      </c>
      <c r="R19" s="139">
        <f t="shared" si="7"/>
        <v>13437.5</v>
      </c>
      <c r="S19" s="139">
        <f t="shared" si="8"/>
        <v>13125</v>
      </c>
      <c r="T19" s="139">
        <f t="shared" si="9"/>
        <v>12812.5</v>
      </c>
      <c r="U19" s="139">
        <v>0</v>
      </c>
      <c r="V19" s="139"/>
      <c r="W19" s="139"/>
      <c r="X19" s="139"/>
      <c r="Y19" s="139"/>
      <c r="Z19" s="139"/>
      <c r="AA19" s="139"/>
      <c r="AB19" s="139"/>
      <c r="AC19" s="139"/>
      <c r="AD19" s="139"/>
      <c r="AE19" s="133"/>
    </row>
    <row r="20" spans="1:31" s="1" customFormat="1" ht="12.75" x14ac:dyDescent="0.2">
      <c r="A20" s="58" t="s">
        <v>149</v>
      </c>
      <c r="B20" s="6">
        <v>23</v>
      </c>
      <c r="C20" s="67" t="s">
        <v>23</v>
      </c>
      <c r="D20" s="6" t="s">
        <v>20</v>
      </c>
      <c r="E20" s="19"/>
      <c r="F20" s="68">
        <v>175000</v>
      </c>
      <c r="G20" s="67" t="s">
        <v>4</v>
      </c>
      <c r="H20" s="3">
        <f t="shared" si="0"/>
        <v>24062.5</v>
      </c>
      <c r="I20" s="8">
        <v>10</v>
      </c>
      <c r="J20" s="137">
        <v>0</v>
      </c>
      <c r="K20" s="131">
        <f>($F20/$I20)+($F20*($I20-0)/$I20*$F$4)</f>
        <v>21875</v>
      </c>
      <c r="L20" s="131">
        <f t="shared" si="1"/>
        <v>21437.5</v>
      </c>
      <c r="M20" s="131">
        <f t="shared" si="2"/>
        <v>21000</v>
      </c>
      <c r="N20" s="131">
        <f t="shared" si="3"/>
        <v>20562.5</v>
      </c>
      <c r="O20" s="139">
        <f t="shared" si="4"/>
        <v>20125</v>
      </c>
      <c r="P20" s="139">
        <f t="shared" si="5"/>
        <v>19687.5</v>
      </c>
      <c r="Q20" s="139">
        <f t="shared" si="6"/>
        <v>19250</v>
      </c>
      <c r="R20" s="139">
        <f t="shared" si="7"/>
        <v>18812.5</v>
      </c>
      <c r="S20" s="139">
        <f t="shared" si="8"/>
        <v>18375</v>
      </c>
      <c r="T20" s="139">
        <f t="shared" si="9"/>
        <v>17937.5</v>
      </c>
      <c r="U20" s="139">
        <v>0</v>
      </c>
      <c r="V20" s="139"/>
      <c r="W20" s="139"/>
      <c r="X20" s="139"/>
      <c r="Y20" s="139"/>
      <c r="Z20" s="139"/>
      <c r="AA20" s="139"/>
      <c r="AB20" s="139"/>
      <c r="AC20" s="139"/>
      <c r="AD20" s="139"/>
      <c r="AE20" s="133"/>
    </row>
    <row r="21" spans="1:31" s="1" customFormat="1" ht="12.75" x14ac:dyDescent="0.2">
      <c r="A21" s="58" t="s">
        <v>104</v>
      </c>
      <c r="B21" s="6">
        <v>23</v>
      </c>
      <c r="C21" s="67" t="s">
        <v>23</v>
      </c>
      <c r="D21" s="6" t="s">
        <v>24</v>
      </c>
      <c r="E21" s="19"/>
      <c r="F21" s="68">
        <v>46000</v>
      </c>
      <c r="G21" s="6" t="s">
        <v>164</v>
      </c>
      <c r="H21" s="3">
        <f t="shared" si="0"/>
        <v>0</v>
      </c>
      <c r="I21" s="19" t="s">
        <v>27</v>
      </c>
      <c r="J21" s="137">
        <f>F21</f>
        <v>46000</v>
      </c>
      <c r="K21" s="131">
        <v>0</v>
      </c>
      <c r="L21" s="131">
        <v>0</v>
      </c>
      <c r="M21" s="131">
        <v>0</v>
      </c>
      <c r="N21" s="131">
        <v>0</v>
      </c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1"/>
    </row>
    <row r="22" spans="1:31" s="1" customFormat="1" ht="13.5" thickBot="1" x14ac:dyDescent="0.25">
      <c r="A22" s="58" t="s">
        <v>61</v>
      </c>
      <c r="B22" s="6">
        <v>23</v>
      </c>
      <c r="C22" s="67" t="s">
        <v>23</v>
      </c>
      <c r="D22" s="6" t="s">
        <v>24</v>
      </c>
      <c r="E22" s="19"/>
      <c r="F22" s="68">
        <v>44000</v>
      </c>
      <c r="G22" s="6" t="s">
        <v>164</v>
      </c>
      <c r="H22" s="3">
        <f t="shared" si="0"/>
        <v>0</v>
      </c>
      <c r="I22" s="19" t="s">
        <v>27</v>
      </c>
      <c r="J22" s="137">
        <f>F22</f>
        <v>44000</v>
      </c>
      <c r="K22" s="131">
        <v>0</v>
      </c>
      <c r="L22" s="131">
        <v>0</v>
      </c>
      <c r="M22" s="131">
        <v>0</v>
      </c>
      <c r="N22" s="131">
        <v>0</v>
      </c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3"/>
    </row>
    <row r="23" spans="1:31" ht="15.75" thickBot="1" x14ac:dyDescent="0.3">
      <c r="A23" s="38"/>
      <c r="B23" s="38"/>
      <c r="C23" s="38"/>
      <c r="D23" s="38"/>
      <c r="E23" s="38"/>
      <c r="F23" s="39">
        <f>SUM(F7:F22)</f>
        <v>4173000</v>
      </c>
      <c r="G23" s="38"/>
      <c r="H23" s="39">
        <f>SUM(H7:H22)</f>
        <v>782200</v>
      </c>
      <c r="I23" s="39"/>
      <c r="J23" s="134">
        <f t="shared" ref="J23:AD23" si="10">SUM(J7:J22)</f>
        <v>290000</v>
      </c>
      <c r="K23" s="134">
        <f t="shared" si="10"/>
        <v>379266.66666666669</v>
      </c>
      <c r="L23" s="134">
        <f t="shared" si="10"/>
        <v>372095</v>
      </c>
      <c r="M23" s="134">
        <f t="shared" si="10"/>
        <v>364923.33333333337</v>
      </c>
      <c r="N23" s="134">
        <f t="shared" si="10"/>
        <v>357751.66666666669</v>
      </c>
      <c r="O23" s="140">
        <f t="shared" si="10"/>
        <v>350580</v>
      </c>
      <c r="P23" s="140">
        <f t="shared" si="10"/>
        <v>332208.33333333337</v>
      </c>
      <c r="Q23" s="140">
        <f t="shared" si="10"/>
        <v>325316.66666666669</v>
      </c>
      <c r="R23" s="140">
        <f t="shared" si="10"/>
        <v>318425</v>
      </c>
      <c r="S23" s="140">
        <f t="shared" si="10"/>
        <v>311533.33333333337</v>
      </c>
      <c r="T23" s="140">
        <f t="shared" si="10"/>
        <v>304641.66666666669</v>
      </c>
      <c r="U23" s="140">
        <f t="shared" si="10"/>
        <v>168750</v>
      </c>
      <c r="V23" s="140">
        <f t="shared" si="10"/>
        <v>165208.33333333334</v>
      </c>
      <c r="W23" s="140">
        <f t="shared" si="10"/>
        <v>161666.66666666669</v>
      </c>
      <c r="X23" s="140">
        <f t="shared" si="10"/>
        <v>158125</v>
      </c>
      <c r="Y23" s="140">
        <f t="shared" si="10"/>
        <v>154583.33333333334</v>
      </c>
      <c r="Z23" s="140">
        <f t="shared" si="10"/>
        <v>84375</v>
      </c>
      <c r="AA23" s="140">
        <f t="shared" si="10"/>
        <v>82500</v>
      </c>
      <c r="AB23" s="140">
        <f t="shared" si="10"/>
        <v>80625</v>
      </c>
      <c r="AC23" s="140">
        <f t="shared" si="10"/>
        <v>78750</v>
      </c>
      <c r="AD23" s="140">
        <f t="shared" si="10"/>
        <v>76875</v>
      </c>
      <c r="AE23" s="136"/>
    </row>
    <row r="24" spans="1:31" x14ac:dyDescent="0.25">
      <c r="A24" s="43"/>
      <c r="J24" s="136"/>
      <c r="K24" s="136"/>
      <c r="L24" s="136"/>
      <c r="M24" s="136"/>
      <c r="N24" s="136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36"/>
    </row>
    <row r="25" spans="1:31" x14ac:dyDescent="0.25">
      <c r="I25" s="21" t="s">
        <v>69</v>
      </c>
      <c r="J25" s="136">
        <f>J23-J26</f>
        <v>200000</v>
      </c>
      <c r="K25" s="136">
        <f t="shared" ref="K25:AD25" si="11">K23-K26</f>
        <v>341766.66666666669</v>
      </c>
      <c r="L25" s="136">
        <f t="shared" si="11"/>
        <v>335345</v>
      </c>
      <c r="M25" s="136">
        <f t="shared" si="11"/>
        <v>328923.33333333337</v>
      </c>
      <c r="N25" s="136">
        <f t="shared" si="11"/>
        <v>322501.66666666669</v>
      </c>
      <c r="O25" s="141">
        <f t="shared" si="11"/>
        <v>316080</v>
      </c>
      <c r="P25" s="141">
        <f t="shared" si="11"/>
        <v>298458.33333333337</v>
      </c>
      <c r="Q25" s="141">
        <f t="shared" si="11"/>
        <v>292316.66666666669</v>
      </c>
      <c r="R25" s="141">
        <f t="shared" si="11"/>
        <v>286175</v>
      </c>
      <c r="S25" s="141">
        <f t="shared" si="11"/>
        <v>280033.33333333337</v>
      </c>
      <c r="T25" s="141">
        <f t="shared" si="11"/>
        <v>273891.66666666669</v>
      </c>
      <c r="U25" s="141">
        <f t="shared" si="11"/>
        <v>168750</v>
      </c>
      <c r="V25" s="141">
        <f t="shared" si="11"/>
        <v>165208.33333333334</v>
      </c>
      <c r="W25" s="141">
        <f t="shared" si="11"/>
        <v>161666.66666666669</v>
      </c>
      <c r="X25" s="141">
        <f t="shared" si="11"/>
        <v>158125</v>
      </c>
      <c r="Y25" s="141">
        <f t="shared" si="11"/>
        <v>154583.33333333334</v>
      </c>
      <c r="Z25" s="141">
        <f t="shared" si="11"/>
        <v>84375</v>
      </c>
      <c r="AA25" s="141">
        <f t="shared" si="11"/>
        <v>82500</v>
      </c>
      <c r="AB25" s="141">
        <f t="shared" si="11"/>
        <v>80625</v>
      </c>
      <c r="AC25" s="141">
        <f t="shared" si="11"/>
        <v>78750</v>
      </c>
      <c r="AD25" s="141">
        <f t="shared" si="11"/>
        <v>76875</v>
      </c>
      <c r="AE25" s="136"/>
    </row>
    <row r="26" spans="1:31" x14ac:dyDescent="0.25">
      <c r="I26" s="21" t="s">
        <v>70</v>
      </c>
      <c r="J26" s="136">
        <f t="shared" ref="J26:AD26" si="12">SUMIF($C7:$C22,"school",J7:J22)</f>
        <v>90000</v>
      </c>
      <c r="K26" s="136">
        <f t="shared" si="12"/>
        <v>37500</v>
      </c>
      <c r="L26" s="136">
        <f t="shared" si="12"/>
        <v>36750</v>
      </c>
      <c r="M26" s="136">
        <f t="shared" si="12"/>
        <v>36000</v>
      </c>
      <c r="N26" s="136">
        <f t="shared" si="12"/>
        <v>35250</v>
      </c>
      <c r="O26" s="141">
        <f t="shared" si="12"/>
        <v>34500</v>
      </c>
      <c r="P26" s="141">
        <f t="shared" si="12"/>
        <v>33750</v>
      </c>
      <c r="Q26" s="141">
        <f t="shared" si="12"/>
        <v>33000</v>
      </c>
      <c r="R26" s="141">
        <f t="shared" si="12"/>
        <v>32250</v>
      </c>
      <c r="S26" s="141">
        <f t="shared" si="12"/>
        <v>31500</v>
      </c>
      <c r="T26" s="141">
        <f t="shared" si="12"/>
        <v>30750</v>
      </c>
      <c r="U26" s="141">
        <f t="shared" si="12"/>
        <v>0</v>
      </c>
      <c r="V26" s="141">
        <f t="shared" si="12"/>
        <v>0</v>
      </c>
      <c r="W26" s="141">
        <f t="shared" si="12"/>
        <v>0</v>
      </c>
      <c r="X26" s="141">
        <f t="shared" si="12"/>
        <v>0</v>
      </c>
      <c r="Y26" s="141">
        <f t="shared" si="12"/>
        <v>0</v>
      </c>
      <c r="Z26" s="141">
        <f t="shared" si="12"/>
        <v>0</v>
      </c>
      <c r="AA26" s="141">
        <f t="shared" si="12"/>
        <v>0</v>
      </c>
      <c r="AB26" s="141">
        <f t="shared" si="12"/>
        <v>0</v>
      </c>
      <c r="AC26" s="141">
        <f t="shared" si="12"/>
        <v>0</v>
      </c>
      <c r="AD26" s="141">
        <f t="shared" si="12"/>
        <v>0</v>
      </c>
      <c r="AE26" s="136"/>
    </row>
    <row r="27" spans="1:31" ht="15.75" thickBot="1" x14ac:dyDescent="0.3"/>
    <row r="28" spans="1:31" x14ac:dyDescent="0.25">
      <c r="F28" s="143">
        <f>SUMIF($G$7:$G$22,"bond",$F$7:$F$22)</f>
        <v>3596000</v>
      </c>
      <c r="G28" s="87" t="s">
        <v>175</v>
      </c>
      <c r="H28" s="25"/>
      <c r="I28" s="25"/>
      <c r="J28" s="26"/>
    </row>
    <row r="29" spans="1:31" x14ac:dyDescent="0.25">
      <c r="F29" s="144">
        <f>SUMIF($G$7:$G$22,"bond - taxable",$F$7:$F$22)</f>
        <v>250000</v>
      </c>
      <c r="G29" s="88" t="s">
        <v>174</v>
      </c>
      <c r="H29" s="27"/>
      <c r="I29" s="27"/>
      <c r="J29" s="28"/>
    </row>
    <row r="30" spans="1:31" x14ac:dyDescent="0.25">
      <c r="F30" s="144">
        <f>SUMIF($G$7:$G$22,"general fund - Town",$F$7:$F$22)</f>
        <v>200000</v>
      </c>
      <c r="G30" s="42" t="s">
        <v>64</v>
      </c>
      <c r="H30" s="27"/>
      <c r="I30" s="27"/>
      <c r="J30" s="28"/>
    </row>
    <row r="31" spans="1:31" x14ac:dyDescent="0.25">
      <c r="F31" s="144">
        <f>SUMIF($G$7:$G$22,"general fund - School",$F$7:$F$22)</f>
        <v>90000</v>
      </c>
      <c r="G31" s="27" t="s">
        <v>65</v>
      </c>
      <c r="H31" s="27"/>
      <c r="I31" s="27"/>
      <c r="J31" s="28"/>
    </row>
    <row r="32" spans="1:31" x14ac:dyDescent="0.25">
      <c r="F32" s="144">
        <f>SUMIF($G$7:$G$22,"Code Fees",$F$7:$F$22)</f>
        <v>37000</v>
      </c>
      <c r="G32" s="27" t="s">
        <v>152</v>
      </c>
      <c r="H32" s="27"/>
      <c r="I32" s="27"/>
      <c r="J32" s="28"/>
    </row>
    <row r="33" spans="6:10" x14ac:dyDescent="0.25">
      <c r="F33" s="144">
        <f>SUMIF($G$7:$G$22,"Harbor Fund",$F$7:$F$22)</f>
        <v>0</v>
      </c>
      <c r="G33" s="27" t="s">
        <v>66</v>
      </c>
      <c r="H33" s="27"/>
      <c r="I33" s="27"/>
      <c r="J33" s="28"/>
    </row>
    <row r="34" spans="6:10" ht="15.75" thickBot="1" x14ac:dyDescent="0.3">
      <c r="F34" s="145">
        <f>SUMIF($G$7:$G$22,"Sohier Park Enterprise Fund",$F$7:$F$22)</f>
        <v>0</v>
      </c>
      <c r="G34" s="24" t="s">
        <v>67</v>
      </c>
      <c r="H34" s="24"/>
      <c r="I34" s="24"/>
      <c r="J34" s="29"/>
    </row>
    <row r="35" spans="6:10" ht="15.75" thickBot="1" x14ac:dyDescent="0.3">
      <c r="F35" s="146">
        <f>SUM(F28:F34)</f>
        <v>4173000</v>
      </c>
      <c r="G35" s="16" t="s">
        <v>94</v>
      </c>
      <c r="H35" s="30"/>
      <c r="I35" s="24"/>
      <c r="J35" s="29"/>
    </row>
    <row r="37" spans="6:10" s="129" customFormat="1" x14ac:dyDescent="0.25">
      <c r="F37" s="147">
        <f>F23-F35</f>
        <v>0</v>
      </c>
      <c r="G37" s="35" t="s">
        <v>72</v>
      </c>
      <c r="H37" s="35"/>
      <c r="I37" s="35"/>
      <c r="J37" s="35"/>
    </row>
  </sheetData>
  <pageMargins left="0.7" right="0.7" top="0.75" bottom="0.75" header="0.3" footer="0.3"/>
  <pageSetup paperSize="3" scale="3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F34"/>
  <sheetViews>
    <sheetView workbookViewId="0">
      <selection activeCell="A2" sqref="A2"/>
    </sheetView>
  </sheetViews>
  <sheetFormatPr defaultRowHeight="15" x14ac:dyDescent="0.25"/>
  <cols>
    <col min="1" max="1" width="59.7109375" customWidth="1"/>
    <col min="2" max="2" width="9.5703125" customWidth="1"/>
    <col min="3" max="3" width="20.7109375" customWidth="1"/>
    <col min="4" max="4" width="20.5703125" customWidth="1"/>
    <col min="5" max="5" width="0" hidden="1" customWidth="1"/>
    <col min="6" max="6" width="15.5703125" customWidth="1"/>
    <col min="7" max="7" width="18.7109375" customWidth="1"/>
    <col min="8" max="8" width="18.5703125" customWidth="1"/>
    <col min="9" max="9" width="9.5703125" customWidth="1"/>
    <col min="10" max="31" width="15.5703125" customWidth="1"/>
  </cols>
  <sheetData>
    <row r="1" spans="1:32" s="57" customFormat="1" ht="23.25" x14ac:dyDescent="0.35">
      <c r="A1" s="41" t="str">
        <f>'FY21 Capital Program'!A1</f>
        <v>Voter Approved: July 14, 2020</v>
      </c>
    </row>
    <row r="2" spans="1:32" ht="23.25" x14ac:dyDescent="0.35">
      <c r="A2" s="4" t="s">
        <v>90</v>
      </c>
      <c r="D2" s="163" t="s">
        <v>158</v>
      </c>
      <c r="E2" s="158"/>
      <c r="F2" s="159"/>
    </row>
    <row r="3" spans="1:32" ht="15.75" x14ac:dyDescent="0.25">
      <c r="A3" s="90">
        <f>'FY21 Capital Program'!A3</f>
        <v>44026</v>
      </c>
      <c r="D3" s="152" t="s">
        <v>159</v>
      </c>
      <c r="E3" s="153"/>
      <c r="F3" s="154">
        <f>'FY21 Capital Program'!F3</f>
        <v>0.03</v>
      </c>
    </row>
    <row r="4" spans="1:32" x14ac:dyDescent="0.25">
      <c r="D4" s="160" t="s">
        <v>160</v>
      </c>
      <c r="E4" s="161"/>
      <c r="F4" s="162">
        <f>'FY21 Capital Program'!F4</f>
        <v>2.5000000000000001E-2</v>
      </c>
    </row>
    <row r="5" spans="1:32" s="24" customFormat="1" ht="45.75" thickBot="1" x14ac:dyDescent="0.3">
      <c r="A5" s="16"/>
      <c r="B5" s="16"/>
      <c r="C5" s="16"/>
      <c r="D5" s="16"/>
      <c r="E5" s="16"/>
      <c r="F5" s="16"/>
      <c r="G5" s="16"/>
      <c r="H5" s="16"/>
      <c r="I5" s="16"/>
      <c r="J5" s="16"/>
      <c r="K5" s="61"/>
      <c r="L5" s="40" t="s">
        <v>28</v>
      </c>
      <c r="M5" s="61"/>
      <c r="N5" s="61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</row>
    <row r="6" spans="1:32" ht="30.75" thickBot="1" x14ac:dyDescent="0.3">
      <c r="A6" s="15" t="s">
        <v>12</v>
      </c>
      <c r="B6" s="15" t="s">
        <v>29</v>
      </c>
      <c r="C6" s="15" t="s">
        <v>18</v>
      </c>
      <c r="D6" s="15" t="s">
        <v>19</v>
      </c>
      <c r="E6" s="15" t="s">
        <v>15</v>
      </c>
      <c r="F6" s="15" t="s">
        <v>6</v>
      </c>
      <c r="G6" s="15" t="s">
        <v>0</v>
      </c>
      <c r="H6" s="15" t="s">
        <v>71</v>
      </c>
      <c r="I6" s="15" t="s">
        <v>5</v>
      </c>
      <c r="J6" s="15" t="s">
        <v>33</v>
      </c>
      <c r="K6" s="59" t="s">
        <v>34</v>
      </c>
      <c r="L6" s="59" t="s">
        <v>35</v>
      </c>
      <c r="M6" s="59" t="s">
        <v>36</v>
      </c>
      <c r="N6" s="59" t="s">
        <v>37</v>
      </c>
      <c r="O6" s="60" t="s">
        <v>38</v>
      </c>
      <c r="P6" s="60" t="s">
        <v>39</v>
      </c>
      <c r="Q6" s="60" t="s">
        <v>40</v>
      </c>
      <c r="R6" s="60" t="s">
        <v>41</v>
      </c>
      <c r="S6" s="60" t="s">
        <v>42</v>
      </c>
      <c r="T6" s="60" t="s">
        <v>43</v>
      </c>
      <c r="U6" s="60" t="s">
        <v>44</v>
      </c>
      <c r="V6" s="60" t="s">
        <v>45</v>
      </c>
      <c r="W6" s="60" t="s">
        <v>46</v>
      </c>
      <c r="X6" s="60" t="s">
        <v>47</v>
      </c>
      <c r="Y6" s="60" t="s">
        <v>48</v>
      </c>
      <c r="Z6" s="60" t="s">
        <v>49</v>
      </c>
      <c r="AA6" s="60" t="s">
        <v>50</v>
      </c>
      <c r="AB6" s="60" t="s">
        <v>51</v>
      </c>
      <c r="AC6" s="60" t="s">
        <v>59</v>
      </c>
      <c r="AD6" s="60" t="s">
        <v>91</v>
      </c>
      <c r="AE6" s="60" t="s">
        <v>105</v>
      </c>
    </row>
    <row r="7" spans="1:32" s="1" customFormat="1" ht="12.75" x14ac:dyDescent="0.2">
      <c r="A7" s="9" t="s">
        <v>30</v>
      </c>
      <c r="B7" s="7">
        <v>24</v>
      </c>
      <c r="C7" s="8" t="s">
        <v>8</v>
      </c>
      <c r="D7" s="6" t="s">
        <v>20</v>
      </c>
      <c r="E7" s="64"/>
      <c r="F7" s="18">
        <v>25000</v>
      </c>
      <c r="G7" s="8" t="s">
        <v>22</v>
      </c>
      <c r="H7" s="3">
        <v>0</v>
      </c>
      <c r="I7" s="8" t="s">
        <v>27</v>
      </c>
      <c r="J7" s="131">
        <v>0</v>
      </c>
      <c r="K7" s="132">
        <v>0</v>
      </c>
      <c r="L7" s="132">
        <v>0</v>
      </c>
      <c r="M7" s="132">
        <v>0</v>
      </c>
      <c r="N7" s="132">
        <v>0</v>
      </c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</row>
    <row r="8" spans="1:32" s="1" customFormat="1" ht="12.75" x14ac:dyDescent="0.2">
      <c r="A8" s="9" t="s">
        <v>172</v>
      </c>
      <c r="B8" s="7">
        <v>24</v>
      </c>
      <c r="C8" s="8" t="s">
        <v>8</v>
      </c>
      <c r="D8" s="6" t="s">
        <v>20</v>
      </c>
      <c r="E8" s="64"/>
      <c r="F8" s="18">
        <v>2000000</v>
      </c>
      <c r="G8" s="6" t="s">
        <v>173</v>
      </c>
      <c r="H8" s="3">
        <f t="shared" ref="H8:H10" si="0">SUM(J8:AD8)-F8</f>
        <v>630000</v>
      </c>
      <c r="I8" s="8">
        <v>20</v>
      </c>
      <c r="J8" s="130">
        <v>0</v>
      </c>
      <c r="K8" s="131">
        <f>($F8/$I8)+($F8*($I8-0)/$I8*$F$3)</f>
        <v>160000</v>
      </c>
      <c r="L8" s="131">
        <f>($F8/$I8)+($F8*($I8-1)/$I8*$F$3)</f>
        <v>157000</v>
      </c>
      <c r="M8" s="131">
        <f>($F8/$I8)+($F8*($I8-2)/$I8*$F$3)</f>
        <v>154000</v>
      </c>
      <c r="N8" s="131">
        <f>($F8/$I8)+($F8*($I8-3)/$I8*$F$3)</f>
        <v>151000</v>
      </c>
      <c r="O8" s="139">
        <f>($F8/$I8)+($F8*($I8-4)/$I8*$F$3)</f>
        <v>148000</v>
      </c>
      <c r="P8" s="139">
        <f>($F8/$I8)+($F8*($I8-5)/$I8*$F$3)</f>
        <v>145000</v>
      </c>
      <c r="Q8" s="139">
        <f>($F8/$I8)+($F8*($I8-6)/$I8*$F$3)</f>
        <v>142000</v>
      </c>
      <c r="R8" s="139">
        <f>($F8/$I8)+($F8*($I8-7)/$I8*$F$3)</f>
        <v>139000</v>
      </c>
      <c r="S8" s="139">
        <f>($F8/$I8)+($F8*($I8-8)/$I8*$F$3)</f>
        <v>136000</v>
      </c>
      <c r="T8" s="139">
        <f>($F8/$I8)+($F8*($I8-9)/$I8*$F$3)</f>
        <v>133000</v>
      </c>
      <c r="U8" s="139">
        <f>($F8/$I8)+($F8*($I8-10)/$I8*$F$3)</f>
        <v>130000</v>
      </c>
      <c r="V8" s="139">
        <f>($F8/$I8)+($F8*($I8-11)/$I8*$F$3)</f>
        <v>127000</v>
      </c>
      <c r="W8" s="139">
        <f>($F8/$I8)+($F8*($I8-12)/$I8*$F$3)</f>
        <v>124000</v>
      </c>
      <c r="X8" s="139">
        <f>($F8/$I8)+($F8*($I8-13)/$I8*$F$3)</f>
        <v>121000</v>
      </c>
      <c r="Y8" s="139">
        <f>($F8/$I8)+($F8*($I8-14)/$I8*$F$3)</f>
        <v>118000</v>
      </c>
      <c r="Z8" s="139">
        <f>($F8/$I8)+($F8*($I8-15)/$I8*$F$3)</f>
        <v>115000</v>
      </c>
      <c r="AA8" s="139">
        <f>($F8/$I8)+($F8*($I8-16)/$I8*$F$3)</f>
        <v>112000</v>
      </c>
      <c r="AB8" s="139">
        <f>($F8/$I8)+($F8*($I8-17)/$I8*$F$3)</f>
        <v>109000</v>
      </c>
      <c r="AC8" s="139">
        <f>($F8/$I8)+($F8*($I8-18)/$I8*$F$3)</f>
        <v>106000</v>
      </c>
      <c r="AD8" s="139">
        <f>($F8/$I8)+($F8*($I8-19)/$I8*$F$3)</f>
        <v>103000</v>
      </c>
      <c r="AE8" s="138">
        <v>0</v>
      </c>
    </row>
    <row r="9" spans="1:32" s="1" customFormat="1" ht="12.75" x14ac:dyDescent="0.2">
      <c r="A9" s="9" t="s">
        <v>97</v>
      </c>
      <c r="B9" s="7">
        <v>24</v>
      </c>
      <c r="C9" s="8" t="s">
        <v>8</v>
      </c>
      <c r="D9" s="6" t="s">
        <v>24</v>
      </c>
      <c r="E9" s="64"/>
      <c r="F9" s="65">
        <v>40000</v>
      </c>
      <c r="G9" s="6" t="s">
        <v>163</v>
      </c>
      <c r="H9" s="3">
        <f>SUM(J9:AD9)-F9</f>
        <v>0</v>
      </c>
      <c r="I9" s="19" t="s">
        <v>27</v>
      </c>
      <c r="J9" s="131">
        <f>F9</f>
        <v>40000</v>
      </c>
      <c r="K9" s="132">
        <v>0</v>
      </c>
      <c r="L9" s="132">
        <v>0</v>
      </c>
      <c r="M9" s="132">
        <v>0</v>
      </c>
      <c r="N9" s="132">
        <v>0</v>
      </c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</row>
    <row r="10" spans="1:32" s="1" customFormat="1" ht="12.75" x14ac:dyDescent="0.2">
      <c r="A10" s="9" t="s">
        <v>98</v>
      </c>
      <c r="B10" s="7">
        <v>24</v>
      </c>
      <c r="C10" s="8" t="s">
        <v>8</v>
      </c>
      <c r="D10" s="6" t="s">
        <v>24</v>
      </c>
      <c r="E10" s="64"/>
      <c r="F10" s="18">
        <v>33000</v>
      </c>
      <c r="G10" s="6" t="s">
        <v>163</v>
      </c>
      <c r="H10" s="3">
        <f t="shared" si="0"/>
        <v>0</v>
      </c>
      <c r="I10" s="19" t="s">
        <v>27</v>
      </c>
      <c r="J10" s="131">
        <f t="shared" ref="J10:J14" si="1">F10</f>
        <v>33000</v>
      </c>
      <c r="K10" s="132">
        <v>0</v>
      </c>
      <c r="L10" s="132">
        <v>0</v>
      </c>
      <c r="M10" s="132">
        <v>0</v>
      </c>
      <c r="N10" s="132">
        <v>0</v>
      </c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</row>
    <row r="11" spans="1:32" s="1" customFormat="1" ht="12.75" customHeight="1" x14ac:dyDescent="0.25">
      <c r="A11" s="2" t="s">
        <v>13</v>
      </c>
      <c r="B11" s="7">
        <v>24</v>
      </c>
      <c r="C11" s="67" t="s">
        <v>117</v>
      </c>
      <c r="D11" s="6" t="s">
        <v>21</v>
      </c>
      <c r="E11" s="2"/>
      <c r="F11" s="116">
        <v>25000</v>
      </c>
      <c r="G11" s="6" t="s">
        <v>163</v>
      </c>
      <c r="H11" s="3">
        <v>0</v>
      </c>
      <c r="I11" s="5" t="s">
        <v>27</v>
      </c>
      <c r="J11" s="131">
        <f t="shared" si="1"/>
        <v>25000</v>
      </c>
      <c r="K11" s="133">
        <v>0</v>
      </c>
      <c r="L11" s="133">
        <v>0</v>
      </c>
      <c r="M11" s="133">
        <v>0</v>
      </c>
      <c r="N11" s="133">
        <v>0</v>
      </c>
      <c r="O11" s="139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32"/>
    </row>
    <row r="12" spans="1:32" s="1" customFormat="1" ht="12.75" x14ac:dyDescent="0.2">
      <c r="A12" s="9" t="s">
        <v>99</v>
      </c>
      <c r="B12" s="7">
        <v>24</v>
      </c>
      <c r="C12" s="8" t="s">
        <v>9</v>
      </c>
      <c r="D12" s="6" t="s">
        <v>21</v>
      </c>
      <c r="E12" s="64"/>
      <c r="F12" s="18">
        <v>30000</v>
      </c>
      <c r="G12" s="6" t="s">
        <v>163</v>
      </c>
      <c r="H12" s="3">
        <v>0</v>
      </c>
      <c r="I12" s="5" t="s">
        <v>27</v>
      </c>
      <c r="J12" s="131">
        <f t="shared" si="1"/>
        <v>30000</v>
      </c>
      <c r="K12" s="131">
        <v>0</v>
      </c>
      <c r="L12" s="131">
        <v>0</v>
      </c>
      <c r="M12" s="131">
        <v>0</v>
      </c>
      <c r="N12" s="132">
        <v>0</v>
      </c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</row>
    <row r="13" spans="1:32" s="1" customFormat="1" ht="12.75" x14ac:dyDescent="0.2">
      <c r="A13" s="9" t="s">
        <v>100</v>
      </c>
      <c r="B13" s="7">
        <v>24</v>
      </c>
      <c r="C13" s="8" t="s">
        <v>9</v>
      </c>
      <c r="D13" s="6" t="s">
        <v>21</v>
      </c>
      <c r="E13" s="64"/>
      <c r="F13" s="18">
        <v>25000</v>
      </c>
      <c r="G13" s="6" t="s">
        <v>163</v>
      </c>
      <c r="H13" s="3">
        <f t="shared" ref="H13:H18" si="2">SUM(J13:AD13)-F13</f>
        <v>0</v>
      </c>
      <c r="I13" s="19" t="s">
        <v>27</v>
      </c>
      <c r="J13" s="131">
        <f t="shared" si="1"/>
        <v>25000</v>
      </c>
      <c r="K13" s="132">
        <v>0</v>
      </c>
      <c r="L13" s="132">
        <v>0</v>
      </c>
      <c r="M13" s="132">
        <v>0</v>
      </c>
      <c r="N13" s="132">
        <v>0</v>
      </c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</row>
    <row r="14" spans="1:32" s="1" customFormat="1" ht="12.75" x14ac:dyDescent="0.2">
      <c r="A14" s="9" t="s">
        <v>25</v>
      </c>
      <c r="B14" s="7">
        <v>24</v>
      </c>
      <c r="C14" s="8" t="s">
        <v>9</v>
      </c>
      <c r="D14" s="6" t="s">
        <v>24</v>
      </c>
      <c r="E14" s="64"/>
      <c r="F14" s="18">
        <v>100000</v>
      </c>
      <c r="G14" s="6" t="s">
        <v>163</v>
      </c>
      <c r="H14" s="3">
        <f t="shared" si="2"/>
        <v>0</v>
      </c>
      <c r="I14" s="19" t="s">
        <v>27</v>
      </c>
      <c r="J14" s="131">
        <f t="shared" si="1"/>
        <v>100000</v>
      </c>
      <c r="K14" s="132">
        <v>0</v>
      </c>
      <c r="L14" s="132">
        <v>0</v>
      </c>
      <c r="M14" s="132">
        <v>0</v>
      </c>
      <c r="N14" s="132">
        <v>0</v>
      </c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</row>
    <row r="15" spans="1:32" s="1" customFormat="1" ht="12.75" x14ac:dyDescent="0.2">
      <c r="A15" s="9" t="s">
        <v>60</v>
      </c>
      <c r="B15" s="7">
        <v>24</v>
      </c>
      <c r="C15" s="8" t="s">
        <v>10</v>
      </c>
      <c r="D15" s="6" t="s">
        <v>26</v>
      </c>
      <c r="E15" s="2"/>
      <c r="F15" s="18">
        <v>1000000</v>
      </c>
      <c r="G15" s="8" t="s">
        <v>4</v>
      </c>
      <c r="H15" s="3">
        <f t="shared" si="2"/>
        <v>200000</v>
      </c>
      <c r="I15" s="8">
        <v>15</v>
      </c>
      <c r="J15" s="131">
        <v>0</v>
      </c>
      <c r="K15" s="131">
        <f>($F15/$I15)+($F15*($I15-0)/$I15*$F$4)</f>
        <v>91666.666666666672</v>
      </c>
      <c r="L15" s="131">
        <f>($F15/$I15)+($F15*($I15-1)/$I15*$F$4)</f>
        <v>90000</v>
      </c>
      <c r="M15" s="131">
        <f>($F15/$I15)+($F15*($I15-2)/$I15*$F$4)</f>
        <v>88333.333333333343</v>
      </c>
      <c r="N15" s="131">
        <f>($F15/$I15)+($F15*($I15-3)/$I15*$F$4)</f>
        <v>86666.666666666672</v>
      </c>
      <c r="O15" s="139">
        <f>($F15/$I15)+($F15*($I15-4)/$I15*$F$4)</f>
        <v>85000</v>
      </c>
      <c r="P15" s="139">
        <f>($F15/$I15)+($F15*($I15-5)/$I15*$F$4)</f>
        <v>83333.333333333343</v>
      </c>
      <c r="Q15" s="139">
        <f>($F15/$I15)+($F15*($I15-6)/$I15*$F$4)</f>
        <v>81666.666666666672</v>
      </c>
      <c r="R15" s="139">
        <f>($F15/$I15)+($F15*($I15-7)/$I15*$F$4)</f>
        <v>80000</v>
      </c>
      <c r="S15" s="139">
        <f>($F15/$I15)+($F15*($I15-8)/$I15*$F$4)</f>
        <v>78333.333333333343</v>
      </c>
      <c r="T15" s="139">
        <f>($F15/$I15)+($F15*($I15-9)/$I15*$F$4)</f>
        <v>76666.666666666672</v>
      </c>
      <c r="U15" s="139">
        <f>($F15/$I15)+($F15*($I15-10)/$I15*$F$4)</f>
        <v>75000</v>
      </c>
      <c r="V15" s="139">
        <f>($F15/$I15)+($F15*($I15-11)/$I15*$F$4)</f>
        <v>73333.333333333343</v>
      </c>
      <c r="W15" s="139">
        <f>($F15/$I15)+($F15*($I15-12)/$I15*$F$4)</f>
        <v>71666.666666666672</v>
      </c>
      <c r="X15" s="139">
        <f>($F15/$I15)+($F15*($I15-13)/$I15*$F$4)</f>
        <v>70000</v>
      </c>
      <c r="Y15" s="139">
        <f>($F15/$I15)+($F15*($I15-14)/$I15*$F$4)</f>
        <v>68333.333333333343</v>
      </c>
      <c r="Z15" s="139">
        <v>0</v>
      </c>
      <c r="AA15" s="139"/>
      <c r="AB15" s="139"/>
      <c r="AC15" s="139"/>
      <c r="AD15" s="139"/>
      <c r="AE15" s="139"/>
    </row>
    <row r="16" spans="1:32" s="1" customFormat="1" ht="12.75" x14ac:dyDescent="0.2">
      <c r="A16" s="9" t="s">
        <v>101</v>
      </c>
      <c r="B16" s="7">
        <v>24</v>
      </c>
      <c r="C16" s="8" t="s">
        <v>10</v>
      </c>
      <c r="D16" s="6" t="s">
        <v>26</v>
      </c>
      <c r="E16" s="2"/>
      <c r="F16" s="65">
        <v>125000</v>
      </c>
      <c r="G16" s="8" t="s">
        <v>4</v>
      </c>
      <c r="H16" s="3">
        <f t="shared" si="2"/>
        <v>17187.5</v>
      </c>
      <c r="I16" s="19">
        <v>10</v>
      </c>
      <c r="J16" s="131">
        <v>0</v>
      </c>
      <c r="K16" s="131">
        <f>($F16/$I16)+($F16*($I16-0)/$I16*$F$4)</f>
        <v>15625</v>
      </c>
      <c r="L16" s="131">
        <f>($F16/$I16)+($F16*($I16-1)/$I16*$F$4)</f>
        <v>15312.5</v>
      </c>
      <c r="M16" s="131">
        <f>($F16/$I16)+($F16*($I16-2)/$I16*$F$4)</f>
        <v>15000</v>
      </c>
      <c r="N16" s="131">
        <f>($F16/$I16)+($F16*($I16-3)/$I16*$F$4)</f>
        <v>14687.5</v>
      </c>
      <c r="O16" s="139">
        <f>($F16/$I16)+($F16*($I16-4)/$I16*$F$4)</f>
        <v>14375</v>
      </c>
      <c r="P16" s="139">
        <f>($F16/$I16)+($F16*($I16-5)/$I16*$F$4)</f>
        <v>14062.5</v>
      </c>
      <c r="Q16" s="139">
        <f>($F16/$I16)+($F16*($I16-6)/$I16*$F$4)</f>
        <v>13750</v>
      </c>
      <c r="R16" s="139">
        <f>($F16/$I16)+($F16*($I16-7)/$I16*$F$4)</f>
        <v>13437.5</v>
      </c>
      <c r="S16" s="139">
        <f>($F16/$I16)+($F16*($I16-8)/$I16*$F$4)</f>
        <v>13125</v>
      </c>
      <c r="T16" s="139">
        <f>($F16/$I16)+($F16*($I16-9)/$I16*$F$4)</f>
        <v>12812.5</v>
      </c>
      <c r="U16" s="139">
        <v>0</v>
      </c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</row>
    <row r="17" spans="1:32" s="1" customFormat="1" ht="12.75" x14ac:dyDescent="0.2">
      <c r="A17" s="9" t="s">
        <v>102</v>
      </c>
      <c r="B17" s="7">
        <v>24</v>
      </c>
      <c r="C17" s="8" t="s">
        <v>10</v>
      </c>
      <c r="D17" s="6" t="s">
        <v>24</v>
      </c>
      <c r="E17" s="2"/>
      <c r="F17" s="65">
        <v>115000</v>
      </c>
      <c r="G17" s="6" t="s">
        <v>163</v>
      </c>
      <c r="H17" s="3">
        <f t="shared" si="2"/>
        <v>0</v>
      </c>
      <c r="I17" s="19" t="s">
        <v>27</v>
      </c>
      <c r="J17" s="131">
        <f>F17</f>
        <v>115000</v>
      </c>
      <c r="K17" s="131">
        <v>0</v>
      </c>
      <c r="L17" s="131">
        <v>0</v>
      </c>
      <c r="M17" s="131">
        <v>0</v>
      </c>
      <c r="N17" s="131">
        <v>0</v>
      </c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</row>
    <row r="18" spans="1:32" x14ac:dyDescent="0.25">
      <c r="A18" s="9" t="s">
        <v>103</v>
      </c>
      <c r="B18" s="7">
        <v>24</v>
      </c>
      <c r="C18" s="8" t="s">
        <v>10</v>
      </c>
      <c r="D18" s="6" t="s">
        <v>24</v>
      </c>
      <c r="E18" s="2"/>
      <c r="F18" s="65">
        <v>175000</v>
      </c>
      <c r="G18" s="6" t="s">
        <v>4</v>
      </c>
      <c r="H18" s="3">
        <f t="shared" si="2"/>
        <v>24062.5</v>
      </c>
      <c r="I18" s="19">
        <v>10</v>
      </c>
      <c r="J18" s="131">
        <v>0</v>
      </c>
      <c r="K18" s="131">
        <f>($F18/$I18)+($F18*($I18-0)/$I18*$F$4)</f>
        <v>21875</v>
      </c>
      <c r="L18" s="131">
        <f>($F18/$I18)+($F18*($I18-1)/$I18*$F$4)</f>
        <v>21437.5</v>
      </c>
      <c r="M18" s="131">
        <f>($F18/$I18)+($F18*($I18-2)/$I18*$F$4)</f>
        <v>21000</v>
      </c>
      <c r="N18" s="131">
        <f>($F18/$I18)+($F18*($I18-3)/$I18*$F$4)</f>
        <v>20562.5</v>
      </c>
      <c r="O18" s="139">
        <f>($F18/$I18)+($F18*($I18-4)/$I18*$F$4)</f>
        <v>20125</v>
      </c>
      <c r="P18" s="139">
        <f>($F18/$I18)+($F18*($I18-5)/$I18*$F$4)</f>
        <v>19687.5</v>
      </c>
      <c r="Q18" s="139">
        <f>($F18/$I18)+($F18*($I18-6)/$I18*$F$4)</f>
        <v>19250</v>
      </c>
      <c r="R18" s="139">
        <f>($F18/$I18)+($F18*($I18-7)/$I18*$F$4)</f>
        <v>18812.5</v>
      </c>
      <c r="S18" s="139">
        <f>($F18/$I18)+($F18*($I18-8)/$I18*$F$4)</f>
        <v>18375</v>
      </c>
      <c r="T18" s="139">
        <f>($F18/$I18)+($F18*($I18-9)/$I18*$F$4)</f>
        <v>17937.5</v>
      </c>
      <c r="U18" s="139">
        <v>0</v>
      </c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"/>
    </row>
    <row r="19" spans="1:32" s="1" customFormat="1" ht="13.5" thickBot="1" x14ac:dyDescent="0.25">
      <c r="A19" s="58" t="s">
        <v>104</v>
      </c>
      <c r="B19" s="7">
        <v>24</v>
      </c>
      <c r="C19" s="67" t="s">
        <v>23</v>
      </c>
      <c r="D19" s="6" t="s">
        <v>24</v>
      </c>
      <c r="E19" s="2"/>
      <c r="F19" s="66">
        <v>48000</v>
      </c>
      <c r="G19" s="6" t="s">
        <v>164</v>
      </c>
      <c r="H19" s="3">
        <v>0</v>
      </c>
      <c r="I19" s="19" t="s">
        <v>27</v>
      </c>
      <c r="J19" s="131">
        <f>F19</f>
        <v>48000</v>
      </c>
      <c r="K19" s="131">
        <v>0</v>
      </c>
      <c r="L19" s="131">
        <v>0</v>
      </c>
      <c r="M19" s="131">
        <v>0</v>
      </c>
      <c r="N19" s="131">
        <v>0</v>
      </c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</row>
    <row r="20" spans="1:32" s="38" customFormat="1" ht="15.75" thickBot="1" x14ac:dyDescent="0.3">
      <c r="F20" s="39">
        <f>SUM(F7:F19)</f>
        <v>3741000</v>
      </c>
      <c r="H20" s="39">
        <f>SUM(H7:H19)</f>
        <v>871250</v>
      </c>
      <c r="J20" s="134">
        <f>SUM(J7:J19)</f>
        <v>416000</v>
      </c>
      <c r="K20" s="134">
        <f t="shared" ref="K20:AE20" si="3">SUM(K7:K19)</f>
        <v>289166.66666666669</v>
      </c>
      <c r="L20" s="134">
        <f t="shared" si="3"/>
        <v>283750</v>
      </c>
      <c r="M20" s="134">
        <f t="shared" si="3"/>
        <v>278333.33333333337</v>
      </c>
      <c r="N20" s="134">
        <f t="shared" si="3"/>
        <v>272916.66666666669</v>
      </c>
      <c r="O20" s="140">
        <f t="shared" si="3"/>
        <v>267500</v>
      </c>
      <c r="P20" s="140">
        <f t="shared" si="3"/>
        <v>262083.33333333334</v>
      </c>
      <c r="Q20" s="140">
        <f t="shared" si="3"/>
        <v>256666.66666666669</v>
      </c>
      <c r="R20" s="140">
        <f t="shared" si="3"/>
        <v>251250</v>
      </c>
      <c r="S20" s="140">
        <f t="shared" si="3"/>
        <v>245833.33333333334</v>
      </c>
      <c r="T20" s="140">
        <f t="shared" si="3"/>
        <v>240416.66666666669</v>
      </c>
      <c r="U20" s="140">
        <f t="shared" si="3"/>
        <v>205000</v>
      </c>
      <c r="V20" s="140">
        <f t="shared" si="3"/>
        <v>200333.33333333334</v>
      </c>
      <c r="W20" s="140">
        <f t="shared" si="3"/>
        <v>195666.66666666669</v>
      </c>
      <c r="X20" s="140">
        <f t="shared" si="3"/>
        <v>191000</v>
      </c>
      <c r="Y20" s="140">
        <f t="shared" si="3"/>
        <v>186333.33333333334</v>
      </c>
      <c r="Z20" s="140">
        <f t="shared" si="3"/>
        <v>115000</v>
      </c>
      <c r="AA20" s="140">
        <f t="shared" si="3"/>
        <v>112000</v>
      </c>
      <c r="AB20" s="140">
        <f t="shared" si="3"/>
        <v>109000</v>
      </c>
      <c r="AC20" s="140">
        <f t="shared" si="3"/>
        <v>106000</v>
      </c>
      <c r="AD20" s="140">
        <f t="shared" si="3"/>
        <v>103000</v>
      </c>
      <c r="AE20" s="140">
        <f t="shared" si="3"/>
        <v>0</v>
      </c>
    </row>
    <row r="21" spans="1:32" s="22" customFormat="1" x14ac:dyDescent="0.25">
      <c r="A21" s="43"/>
      <c r="J21" s="135"/>
      <c r="K21" s="135"/>
      <c r="L21" s="135"/>
      <c r="M21" s="135"/>
      <c r="N21" s="135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</row>
    <row r="22" spans="1:32" x14ac:dyDescent="0.25">
      <c r="I22" s="21" t="s">
        <v>69</v>
      </c>
      <c r="J22" s="136">
        <f>J20-J23</f>
        <v>368000</v>
      </c>
      <c r="K22" s="136">
        <f t="shared" ref="K22:AE22" si="4">K20-K23</f>
        <v>289166.66666666669</v>
      </c>
      <c r="L22" s="136">
        <f t="shared" si="4"/>
        <v>283750</v>
      </c>
      <c r="M22" s="136">
        <f t="shared" si="4"/>
        <v>278333.33333333337</v>
      </c>
      <c r="N22" s="136">
        <f t="shared" si="4"/>
        <v>272916.66666666669</v>
      </c>
      <c r="O22" s="141">
        <f t="shared" si="4"/>
        <v>267500</v>
      </c>
      <c r="P22" s="141">
        <f t="shared" si="4"/>
        <v>262083.33333333334</v>
      </c>
      <c r="Q22" s="141">
        <f t="shared" si="4"/>
        <v>256666.66666666669</v>
      </c>
      <c r="R22" s="141">
        <f t="shared" si="4"/>
        <v>251250</v>
      </c>
      <c r="S22" s="141">
        <f t="shared" si="4"/>
        <v>245833.33333333334</v>
      </c>
      <c r="T22" s="141">
        <f t="shared" si="4"/>
        <v>240416.66666666669</v>
      </c>
      <c r="U22" s="141">
        <f t="shared" si="4"/>
        <v>205000</v>
      </c>
      <c r="V22" s="141">
        <f t="shared" si="4"/>
        <v>200333.33333333334</v>
      </c>
      <c r="W22" s="141">
        <f t="shared" si="4"/>
        <v>195666.66666666669</v>
      </c>
      <c r="X22" s="141">
        <f t="shared" si="4"/>
        <v>191000</v>
      </c>
      <c r="Y22" s="141">
        <f t="shared" si="4"/>
        <v>186333.33333333334</v>
      </c>
      <c r="Z22" s="141">
        <f t="shared" si="4"/>
        <v>115000</v>
      </c>
      <c r="AA22" s="141">
        <f t="shared" si="4"/>
        <v>112000</v>
      </c>
      <c r="AB22" s="141">
        <f t="shared" si="4"/>
        <v>109000</v>
      </c>
      <c r="AC22" s="141">
        <f t="shared" si="4"/>
        <v>106000</v>
      </c>
      <c r="AD22" s="141">
        <f t="shared" si="4"/>
        <v>103000</v>
      </c>
      <c r="AE22" s="141">
        <f t="shared" si="4"/>
        <v>0</v>
      </c>
    </row>
    <row r="23" spans="1:32" x14ac:dyDescent="0.25">
      <c r="I23" s="21" t="s">
        <v>70</v>
      </c>
      <c r="J23" s="136">
        <f>SUMIF($C$7:$C$19,"school",J7:J19)</f>
        <v>48000</v>
      </c>
      <c r="K23" s="136">
        <f t="shared" ref="K23:AE23" si="5">SUMIF($C$7:$C$19,"school",K7:K19)</f>
        <v>0</v>
      </c>
      <c r="L23" s="136">
        <f t="shared" si="5"/>
        <v>0</v>
      </c>
      <c r="M23" s="136">
        <f t="shared" si="5"/>
        <v>0</v>
      </c>
      <c r="N23" s="136">
        <f t="shared" si="5"/>
        <v>0</v>
      </c>
      <c r="O23" s="141">
        <f t="shared" si="5"/>
        <v>0</v>
      </c>
      <c r="P23" s="141">
        <f t="shared" si="5"/>
        <v>0</v>
      </c>
      <c r="Q23" s="141">
        <f t="shared" si="5"/>
        <v>0</v>
      </c>
      <c r="R23" s="141">
        <f t="shared" si="5"/>
        <v>0</v>
      </c>
      <c r="S23" s="141">
        <f t="shared" si="5"/>
        <v>0</v>
      </c>
      <c r="T23" s="141">
        <f t="shared" si="5"/>
        <v>0</v>
      </c>
      <c r="U23" s="141">
        <f t="shared" si="5"/>
        <v>0</v>
      </c>
      <c r="V23" s="141">
        <f t="shared" si="5"/>
        <v>0</v>
      </c>
      <c r="W23" s="141">
        <f t="shared" si="5"/>
        <v>0</v>
      </c>
      <c r="X23" s="141">
        <f t="shared" si="5"/>
        <v>0</v>
      </c>
      <c r="Y23" s="141">
        <f t="shared" si="5"/>
        <v>0</v>
      </c>
      <c r="Z23" s="141">
        <f t="shared" si="5"/>
        <v>0</v>
      </c>
      <c r="AA23" s="141">
        <f t="shared" si="5"/>
        <v>0</v>
      </c>
      <c r="AB23" s="141">
        <f t="shared" si="5"/>
        <v>0</v>
      </c>
      <c r="AC23" s="141">
        <f t="shared" si="5"/>
        <v>0</v>
      </c>
      <c r="AD23" s="141">
        <f t="shared" si="5"/>
        <v>0</v>
      </c>
      <c r="AE23" s="141">
        <f t="shared" si="5"/>
        <v>0</v>
      </c>
    </row>
    <row r="24" spans="1:32" ht="15.75" thickBot="1" x14ac:dyDescent="0.3">
      <c r="J24" s="120"/>
    </row>
    <row r="25" spans="1:32" x14ac:dyDescent="0.25">
      <c r="F25" s="143">
        <f>SUMIF($G$7:$G$19,"bond",$F$7:$F$19)</f>
        <v>1300000</v>
      </c>
      <c r="G25" s="87" t="s">
        <v>175</v>
      </c>
      <c r="H25" s="25"/>
      <c r="I25" s="25"/>
      <c r="J25" s="26"/>
    </row>
    <row r="26" spans="1:32" x14ac:dyDescent="0.25">
      <c r="F26" s="144">
        <f>SUMIF($G$7:$G$19,"bond - taxable",$F$7:$F$19)</f>
        <v>2000000</v>
      </c>
      <c r="G26" s="88" t="s">
        <v>174</v>
      </c>
      <c r="H26" s="27"/>
      <c r="I26" s="27"/>
      <c r="J26" s="28"/>
    </row>
    <row r="27" spans="1:32" x14ac:dyDescent="0.25">
      <c r="F27" s="144">
        <f>SUMIF($G$7:$G$19,"general fund - Town",$F$7:$F$19)</f>
        <v>368000</v>
      </c>
      <c r="G27" s="42" t="s">
        <v>64</v>
      </c>
      <c r="H27" s="27"/>
      <c r="I27" s="27"/>
      <c r="J27" s="28"/>
    </row>
    <row r="28" spans="1:32" x14ac:dyDescent="0.25">
      <c r="F28" s="144">
        <f>SUMIF($G$7:$G$19,"general fund - School",$F$7:$F$19)</f>
        <v>48000</v>
      </c>
      <c r="G28" s="27" t="s">
        <v>65</v>
      </c>
      <c r="H28" s="27"/>
      <c r="I28" s="27"/>
      <c r="J28" s="28"/>
    </row>
    <row r="29" spans="1:32" x14ac:dyDescent="0.25">
      <c r="F29" s="144">
        <f>SUMIF($G$7:$G$19,"code fees",$F$7:$F$19)</f>
        <v>0</v>
      </c>
      <c r="G29" s="27" t="s">
        <v>152</v>
      </c>
      <c r="H29" s="27"/>
      <c r="I29" s="27"/>
      <c r="J29" s="28"/>
    </row>
    <row r="30" spans="1:32" x14ac:dyDescent="0.25">
      <c r="F30" s="144">
        <f>SUMIF($G$7:$G$19,"Harbor funds",$F$7:$F$19)</f>
        <v>0</v>
      </c>
      <c r="G30" s="27" t="s">
        <v>66</v>
      </c>
      <c r="H30" s="27"/>
      <c r="I30" s="27"/>
      <c r="J30" s="28"/>
    </row>
    <row r="31" spans="1:32" ht="15.75" thickBot="1" x14ac:dyDescent="0.3">
      <c r="F31" s="145">
        <f>SUMIF($G$7:$G$19,"sohier park ent. fund",$F$7:$F$19)</f>
        <v>25000</v>
      </c>
      <c r="G31" s="24" t="s">
        <v>67</v>
      </c>
      <c r="H31" s="24"/>
      <c r="I31" s="24"/>
      <c r="J31" s="29"/>
    </row>
    <row r="32" spans="1:32" ht="15.75" thickBot="1" x14ac:dyDescent="0.3">
      <c r="F32" s="146">
        <f>SUM(F25:F31)</f>
        <v>3741000</v>
      </c>
      <c r="G32" s="16" t="s">
        <v>95</v>
      </c>
      <c r="H32" s="30"/>
      <c r="I32" s="24"/>
      <c r="J32" s="29"/>
    </row>
    <row r="34" spans="6:7" s="35" customFormat="1" x14ac:dyDescent="0.25">
      <c r="F34" s="147">
        <f>F32-F20</f>
        <v>0</v>
      </c>
      <c r="G34" s="35" t="s">
        <v>72</v>
      </c>
    </row>
  </sheetData>
  <sortState xmlns:xlrd2="http://schemas.microsoft.com/office/spreadsheetml/2017/richdata2" ref="A11:AF19">
    <sortCondition ref="C11:C19"/>
    <sortCondition ref="D11:D19"/>
  </sortState>
  <pageMargins left="0.7" right="0.7" top="0.75" bottom="0.75" header="0.3" footer="0.3"/>
  <pageSetup paperSize="3" scale="3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42A32-D2E0-4355-93D3-802712A3C01E}">
  <sheetPr>
    <pageSetUpPr fitToPage="1"/>
  </sheetPr>
  <dimension ref="A1:AF39"/>
  <sheetViews>
    <sheetView workbookViewId="0">
      <selection activeCell="A2" sqref="A2"/>
    </sheetView>
  </sheetViews>
  <sheetFormatPr defaultRowHeight="15" x14ac:dyDescent="0.25"/>
  <cols>
    <col min="1" max="1" width="59.7109375" customWidth="1"/>
    <col min="2" max="2" width="9.5703125" customWidth="1"/>
    <col min="3" max="3" width="20.7109375" customWidth="1"/>
    <col min="4" max="4" width="20.5703125" customWidth="1"/>
    <col min="5" max="5" width="0" hidden="1" customWidth="1"/>
    <col min="6" max="6" width="15.5703125" customWidth="1"/>
    <col min="7" max="7" width="18.7109375" customWidth="1"/>
    <col min="8" max="8" width="18.5703125" customWidth="1"/>
    <col min="9" max="9" width="9.5703125" customWidth="1"/>
    <col min="10" max="30" width="15.5703125" customWidth="1"/>
  </cols>
  <sheetData>
    <row r="1" spans="1:31" s="57" customFormat="1" ht="23.25" x14ac:dyDescent="0.35">
      <c r="A1" s="41" t="str">
        <f>'FY21 Capital Program'!A1</f>
        <v>Voter Approved: July 14, 2020</v>
      </c>
    </row>
    <row r="2" spans="1:31" ht="23.25" x14ac:dyDescent="0.35">
      <c r="A2" s="4" t="s">
        <v>165</v>
      </c>
      <c r="D2" s="149" t="s">
        <v>158</v>
      </c>
      <c r="E2" s="150"/>
      <c r="F2" s="151"/>
    </row>
    <row r="3" spans="1:31" ht="15.75" x14ac:dyDescent="0.25">
      <c r="A3" s="90">
        <f>'FY21 Capital Program'!A3</f>
        <v>44026</v>
      </c>
      <c r="D3" s="152" t="s">
        <v>159</v>
      </c>
      <c r="E3" s="153"/>
      <c r="F3" s="154">
        <f>'FY21 Capital Program'!F3</f>
        <v>0.03</v>
      </c>
    </row>
    <row r="4" spans="1:31" x14ac:dyDescent="0.25">
      <c r="D4" s="155" t="s">
        <v>160</v>
      </c>
      <c r="E4" s="156"/>
      <c r="F4" s="157">
        <f>'FY21 Capital Program'!F4</f>
        <v>2.5000000000000001E-2</v>
      </c>
    </row>
    <row r="5" spans="1:31" s="24" customFormat="1" ht="45.75" thickBot="1" x14ac:dyDescent="0.3">
      <c r="A5" s="16"/>
      <c r="B5" s="16"/>
      <c r="C5" s="16"/>
      <c r="D5" s="16"/>
      <c r="E5" s="16"/>
      <c r="F5" s="16"/>
      <c r="G5" s="16"/>
      <c r="H5" s="16"/>
      <c r="I5" s="16"/>
      <c r="J5" s="61"/>
      <c r="K5" s="40" t="s">
        <v>28</v>
      </c>
      <c r="L5" s="61"/>
      <c r="M5" s="61"/>
      <c r="N5" s="61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</row>
    <row r="6" spans="1:31" ht="30.75" thickBot="1" x14ac:dyDescent="0.3">
      <c r="A6" s="15" t="s">
        <v>12</v>
      </c>
      <c r="B6" s="15" t="s">
        <v>29</v>
      </c>
      <c r="C6" s="15" t="s">
        <v>18</v>
      </c>
      <c r="D6" s="15" t="s">
        <v>19</v>
      </c>
      <c r="E6" s="15" t="s">
        <v>15</v>
      </c>
      <c r="F6" s="15" t="s">
        <v>6</v>
      </c>
      <c r="G6" s="15" t="s">
        <v>0</v>
      </c>
      <c r="H6" s="15" t="s">
        <v>71</v>
      </c>
      <c r="I6" s="15" t="s">
        <v>5</v>
      </c>
      <c r="J6" s="59" t="s">
        <v>34</v>
      </c>
      <c r="K6" s="59" t="s">
        <v>35</v>
      </c>
      <c r="L6" s="59" t="s">
        <v>36</v>
      </c>
      <c r="M6" s="59" t="s">
        <v>37</v>
      </c>
      <c r="N6" s="59" t="s">
        <v>38</v>
      </c>
      <c r="O6" s="60" t="s">
        <v>39</v>
      </c>
      <c r="P6" s="60" t="s">
        <v>40</v>
      </c>
      <c r="Q6" s="60" t="s">
        <v>41</v>
      </c>
      <c r="R6" s="60" t="s">
        <v>42</v>
      </c>
      <c r="S6" s="60" t="s">
        <v>43</v>
      </c>
      <c r="T6" s="60" t="s">
        <v>44</v>
      </c>
      <c r="U6" s="60" t="s">
        <v>45</v>
      </c>
      <c r="V6" s="60" t="s">
        <v>46</v>
      </c>
      <c r="W6" s="60" t="s">
        <v>47</v>
      </c>
      <c r="X6" s="60" t="s">
        <v>48</v>
      </c>
      <c r="Y6" s="60" t="s">
        <v>49</v>
      </c>
      <c r="Z6" s="60" t="s">
        <v>50</v>
      </c>
      <c r="AA6" s="60" t="s">
        <v>51</v>
      </c>
      <c r="AB6" s="60" t="s">
        <v>59</v>
      </c>
      <c r="AC6" s="60" t="s">
        <v>91</v>
      </c>
      <c r="AD6" s="60" t="s">
        <v>105</v>
      </c>
    </row>
    <row r="7" spans="1:31" ht="12.75" customHeight="1" x14ac:dyDescent="0.25">
      <c r="A7" s="9" t="s">
        <v>155</v>
      </c>
      <c r="B7" s="7">
        <v>25</v>
      </c>
      <c r="C7" s="8" t="s">
        <v>117</v>
      </c>
      <c r="D7" s="2" t="s">
        <v>24</v>
      </c>
      <c r="E7" s="64"/>
      <c r="F7" s="18">
        <v>1200000</v>
      </c>
      <c r="G7" s="8" t="s">
        <v>4</v>
      </c>
      <c r="H7" s="3">
        <f>SUM(J7:AD7)-F7</f>
        <v>240000</v>
      </c>
      <c r="I7" s="19">
        <v>15</v>
      </c>
      <c r="J7" s="123">
        <v>0</v>
      </c>
      <c r="K7" s="92">
        <f>($F7/$I7)+($F7*($I7-0)/$I7*$F$4)</f>
        <v>110000</v>
      </c>
      <c r="L7" s="92">
        <f>($F7/$I7)+($F7*($I7-1)/$I7*$F$4)</f>
        <v>108000</v>
      </c>
      <c r="M7" s="92">
        <f>($F7/$I7)+($F7*($I7-2)/$I7*$F$4)</f>
        <v>106000</v>
      </c>
      <c r="N7" s="92">
        <f>($F7/$I7)+($F7*($I7-3)/$I7*$F$4)</f>
        <v>104000</v>
      </c>
      <c r="O7" s="103">
        <f>($F7/$I7)+($F7*($I7-4)/$I7*$F$4)</f>
        <v>102000</v>
      </c>
      <c r="P7" s="103">
        <f>($F7/$I7)+($F7*($I7-5)/$I7*$F$4)</f>
        <v>100000</v>
      </c>
      <c r="Q7" s="103">
        <f>($F7/$I7)+($F7*($I7-6)/$I7*$F$4)</f>
        <v>98000</v>
      </c>
      <c r="R7" s="103">
        <f>($F7/$I7)+($F7*($I7-7)/$I7*$F$4)</f>
        <v>96000</v>
      </c>
      <c r="S7" s="103">
        <f>($F7/$I7)+($F7*($I7-8)/$I7*$F$4)</f>
        <v>94000</v>
      </c>
      <c r="T7" s="103">
        <f>($F7/$I7)+($F7*($I7-9)/$I7*$F$4)</f>
        <v>92000</v>
      </c>
      <c r="U7" s="103">
        <f>($F7/$I7)+($F7*($I7-10)/$I7*$F$4)</f>
        <v>90000</v>
      </c>
      <c r="V7" s="103">
        <f>($F7/$I7)+($F7*($I7-11)/$I7*$F$4)</f>
        <v>88000</v>
      </c>
      <c r="W7" s="103">
        <f>($F7/$I7)+($F7*($I7-12)/$I7*$F$4)</f>
        <v>86000</v>
      </c>
      <c r="X7" s="103">
        <f>($F7/$I7)+($F7*($I7-13)/$I7*$F$4)</f>
        <v>84000</v>
      </c>
      <c r="Y7" s="103">
        <f>($F7/$I7)+($F7*($I7-14)/$I7*$F$4)</f>
        <v>82000</v>
      </c>
      <c r="Z7" s="126">
        <v>0</v>
      </c>
      <c r="AA7" s="118"/>
      <c r="AB7" s="118"/>
      <c r="AC7" s="118"/>
      <c r="AD7" s="118"/>
    </row>
    <row r="8" spans="1:31" ht="12.75" customHeight="1" x14ac:dyDescent="0.25">
      <c r="A8" s="9" t="s">
        <v>106</v>
      </c>
      <c r="B8" s="7">
        <v>25</v>
      </c>
      <c r="C8" s="8" t="s">
        <v>96</v>
      </c>
      <c r="D8" s="2" t="s">
        <v>153</v>
      </c>
      <c r="E8" s="64"/>
      <c r="F8" s="65">
        <v>21000</v>
      </c>
      <c r="G8" s="6" t="s">
        <v>163</v>
      </c>
      <c r="H8" s="3">
        <f>SUM(J8:AD8)-F8</f>
        <v>0</v>
      </c>
      <c r="I8" s="19" t="s">
        <v>27</v>
      </c>
      <c r="J8" s="114">
        <f>F8</f>
        <v>21000</v>
      </c>
      <c r="K8" s="123">
        <v>0</v>
      </c>
      <c r="L8" s="123">
        <v>0</v>
      </c>
      <c r="M8" s="123">
        <v>0</v>
      </c>
      <c r="N8" s="123">
        <v>0</v>
      </c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</row>
    <row r="9" spans="1:31" ht="12.75" customHeight="1" x14ac:dyDescent="0.25">
      <c r="A9" s="9" t="s">
        <v>109</v>
      </c>
      <c r="B9" s="7">
        <v>25</v>
      </c>
      <c r="C9" s="8" t="s">
        <v>8</v>
      </c>
      <c r="D9" s="2" t="s">
        <v>20</v>
      </c>
      <c r="E9" s="2"/>
      <c r="F9" s="18">
        <v>20000</v>
      </c>
      <c r="G9" s="8" t="s">
        <v>22</v>
      </c>
      <c r="H9" s="20">
        <v>0</v>
      </c>
      <c r="I9" s="19" t="s">
        <v>27</v>
      </c>
      <c r="J9" s="114">
        <v>0</v>
      </c>
      <c r="K9" s="124">
        <v>0</v>
      </c>
      <c r="L9" s="124">
        <v>0</v>
      </c>
      <c r="M9" s="124">
        <v>0</v>
      </c>
      <c r="N9" s="124">
        <v>0</v>
      </c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</row>
    <row r="10" spans="1:31" ht="12.75" customHeight="1" x14ac:dyDescent="0.25">
      <c r="A10" s="9" t="s">
        <v>107</v>
      </c>
      <c r="B10" s="7">
        <v>25</v>
      </c>
      <c r="C10" s="8" t="s">
        <v>8</v>
      </c>
      <c r="D10" s="2" t="s">
        <v>20</v>
      </c>
      <c r="E10" s="64"/>
      <c r="F10" s="65">
        <v>50000</v>
      </c>
      <c r="G10" s="6" t="s">
        <v>163</v>
      </c>
      <c r="H10" s="3">
        <f t="shared" ref="H10:H24" si="0">SUM(J10:AD10)-F10</f>
        <v>0</v>
      </c>
      <c r="I10" s="19" t="s">
        <v>27</v>
      </c>
      <c r="J10" s="114">
        <f t="shared" ref="J10:J15" si="1">F10</f>
        <v>50000</v>
      </c>
      <c r="K10" s="123">
        <v>0</v>
      </c>
      <c r="L10" s="123">
        <v>0</v>
      </c>
      <c r="M10" s="123">
        <v>0</v>
      </c>
      <c r="N10" s="123">
        <v>0</v>
      </c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</row>
    <row r="11" spans="1:31" ht="12.75" customHeight="1" x14ac:dyDescent="0.25">
      <c r="A11" s="9" t="s">
        <v>108</v>
      </c>
      <c r="B11" s="7">
        <v>25</v>
      </c>
      <c r="C11" s="8" t="s">
        <v>8</v>
      </c>
      <c r="D11" s="2" t="s">
        <v>20</v>
      </c>
      <c r="E11" s="2"/>
      <c r="F11" s="18">
        <v>50000</v>
      </c>
      <c r="G11" s="6" t="s">
        <v>163</v>
      </c>
      <c r="H11" s="3">
        <f t="shared" si="0"/>
        <v>0</v>
      </c>
      <c r="I11" s="8"/>
      <c r="J11" s="114">
        <f t="shared" si="1"/>
        <v>50000</v>
      </c>
      <c r="K11" s="123">
        <v>0</v>
      </c>
      <c r="L11" s="123">
        <v>0</v>
      </c>
      <c r="M11" s="123">
        <v>0</v>
      </c>
      <c r="N11" s="123">
        <v>0</v>
      </c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</row>
    <row r="12" spans="1:31" ht="12.75" customHeight="1" x14ac:dyDescent="0.25">
      <c r="A12" s="9" t="s">
        <v>99</v>
      </c>
      <c r="B12" s="7">
        <v>25</v>
      </c>
      <c r="C12" s="8" t="s">
        <v>9</v>
      </c>
      <c r="D12" s="2" t="s">
        <v>153</v>
      </c>
      <c r="E12" s="2"/>
      <c r="F12" s="18">
        <v>30000</v>
      </c>
      <c r="G12" s="6" t="s">
        <v>163</v>
      </c>
      <c r="H12" s="3">
        <f t="shared" si="0"/>
        <v>0</v>
      </c>
      <c r="I12" s="19" t="s">
        <v>27</v>
      </c>
      <c r="J12" s="114">
        <f t="shared" si="1"/>
        <v>30000</v>
      </c>
      <c r="K12" s="92">
        <v>0</v>
      </c>
      <c r="L12" s="92">
        <v>0</v>
      </c>
      <c r="M12" s="92">
        <v>0</v>
      </c>
      <c r="N12" s="124">
        <v>0</v>
      </c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</row>
    <row r="13" spans="1:31" ht="12.75" customHeight="1" x14ac:dyDescent="0.25">
      <c r="A13" s="9" t="s">
        <v>110</v>
      </c>
      <c r="B13" s="7">
        <v>25</v>
      </c>
      <c r="C13" s="8" t="s">
        <v>9</v>
      </c>
      <c r="D13" s="2" t="s">
        <v>153</v>
      </c>
      <c r="E13" s="2"/>
      <c r="F13" s="18">
        <v>30000</v>
      </c>
      <c r="G13" s="6" t="s">
        <v>163</v>
      </c>
      <c r="H13" s="3">
        <f t="shared" si="0"/>
        <v>0</v>
      </c>
      <c r="I13" s="19" t="s">
        <v>27</v>
      </c>
      <c r="J13" s="114">
        <f t="shared" si="1"/>
        <v>30000</v>
      </c>
      <c r="K13" s="123">
        <v>0</v>
      </c>
      <c r="L13" s="123">
        <v>0</v>
      </c>
      <c r="M13" s="123">
        <v>0</v>
      </c>
      <c r="N13" s="123">
        <v>0</v>
      </c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</row>
    <row r="14" spans="1:31" ht="12.75" customHeight="1" x14ac:dyDescent="0.25">
      <c r="A14" s="9" t="s">
        <v>111</v>
      </c>
      <c r="B14" s="7">
        <v>25</v>
      </c>
      <c r="C14" s="8" t="s">
        <v>9</v>
      </c>
      <c r="D14" s="2" t="s">
        <v>20</v>
      </c>
      <c r="E14" s="2"/>
      <c r="F14" s="18">
        <v>25000</v>
      </c>
      <c r="G14" s="6" t="s">
        <v>163</v>
      </c>
      <c r="H14" s="3">
        <f t="shared" si="0"/>
        <v>0</v>
      </c>
      <c r="I14" s="19" t="s">
        <v>27</v>
      </c>
      <c r="J14" s="114">
        <f t="shared" si="1"/>
        <v>25000</v>
      </c>
      <c r="K14" s="123">
        <v>0</v>
      </c>
      <c r="L14" s="123">
        <v>0</v>
      </c>
      <c r="M14" s="123">
        <v>0</v>
      </c>
      <c r="N14" s="123">
        <v>0</v>
      </c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</row>
    <row r="15" spans="1:31" ht="12.75" customHeight="1" x14ac:dyDescent="0.25">
      <c r="A15" s="9" t="s">
        <v>112</v>
      </c>
      <c r="B15" s="7">
        <v>25</v>
      </c>
      <c r="C15" s="8" t="s">
        <v>9</v>
      </c>
      <c r="D15" s="2" t="s">
        <v>154</v>
      </c>
      <c r="E15" s="2"/>
      <c r="F15" s="18">
        <v>100000</v>
      </c>
      <c r="G15" s="6" t="s">
        <v>163</v>
      </c>
      <c r="H15" s="3">
        <f t="shared" si="0"/>
        <v>0</v>
      </c>
      <c r="I15" s="19" t="s">
        <v>27</v>
      </c>
      <c r="J15" s="114">
        <f t="shared" si="1"/>
        <v>100000</v>
      </c>
      <c r="K15" s="123">
        <v>0</v>
      </c>
      <c r="L15" s="123">
        <v>0</v>
      </c>
      <c r="M15" s="123">
        <v>0</v>
      </c>
      <c r="N15" s="123">
        <v>0</v>
      </c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</row>
    <row r="16" spans="1:31" ht="12.75" customHeight="1" x14ac:dyDescent="0.25">
      <c r="A16" s="9" t="s">
        <v>113</v>
      </c>
      <c r="B16" s="7">
        <v>25</v>
      </c>
      <c r="C16" s="8" t="s">
        <v>10</v>
      </c>
      <c r="D16" s="2" t="s">
        <v>20</v>
      </c>
      <c r="E16" s="2"/>
      <c r="F16" s="65">
        <v>900000</v>
      </c>
      <c r="G16" s="8" t="s">
        <v>4</v>
      </c>
      <c r="H16" s="3">
        <f t="shared" si="0"/>
        <v>236250</v>
      </c>
      <c r="I16" s="19">
        <v>20</v>
      </c>
      <c r="J16" s="114">
        <v>0</v>
      </c>
      <c r="K16" s="92">
        <f t="shared" ref="K16:K23" si="2">($F16/$I16)+($F16*($I16-0)/$I16*$F$4)</f>
        <v>67500</v>
      </c>
      <c r="L16" s="92">
        <f t="shared" ref="L16:L23" si="3">($F16/$I16)+($F16*($I16-1)/$I16*$F$4)</f>
        <v>66375</v>
      </c>
      <c r="M16" s="92">
        <f t="shared" ref="M16:M23" si="4">($F16/$I16)+($F16*($I16-2)/$I16*$F$4)</f>
        <v>65250</v>
      </c>
      <c r="N16" s="92">
        <f t="shared" ref="N16:N23" si="5">($F16/$I16)+($F16*($I16-3)/$I16*$F$4)</f>
        <v>64125</v>
      </c>
      <c r="O16" s="103">
        <f t="shared" ref="O16:O23" si="6">($F16/$I16)+($F16*($I16-4)/$I16*$F$4)</f>
        <v>63000</v>
      </c>
      <c r="P16" s="103">
        <f>($F16/$I16)+($F16*($I16-5)/$I16*$F$4)</f>
        <v>61875</v>
      </c>
      <c r="Q16" s="103">
        <f>($F16/$I16)+($F16*($I16-6)/$I16*$F$4)</f>
        <v>60750</v>
      </c>
      <c r="R16" s="103">
        <f>($F16/$I16)+($F16*($I16-7)/$I16*$F$4)</f>
        <v>59625</v>
      </c>
      <c r="S16" s="103">
        <f>($F16/$I16)+($F16*($I16-8)/$I16*$F$4)</f>
        <v>58500</v>
      </c>
      <c r="T16" s="103">
        <f>($F16/$I16)+($F16*($I16-9)/$I16*$F$4)</f>
        <v>57375</v>
      </c>
      <c r="U16" s="103">
        <f>($F16/$I16)+($F16*($I16-10)/$I16*$F$4)</f>
        <v>56250</v>
      </c>
      <c r="V16" s="103">
        <f>($F16/$I16)+($F16*($I16-11)/$I16*$F$4)</f>
        <v>55125</v>
      </c>
      <c r="W16" s="103">
        <f>($F16/$I16)+($F16*($I16-12)/$I16*$F$4)</f>
        <v>54000</v>
      </c>
      <c r="X16" s="103">
        <f>($F16/$I16)+($F16*($I16-13)/$I16*$F$4)</f>
        <v>52875</v>
      </c>
      <c r="Y16" s="103">
        <f>($F16/$I16)+($F16*($I16-14)/$I16*$F$4)</f>
        <v>51750</v>
      </c>
      <c r="Z16" s="103">
        <f>($F16/$I16)+($F16*($I16-15)/$I16*$F$4)</f>
        <v>50625</v>
      </c>
      <c r="AA16" s="103">
        <f>($F16/$I16)+($F16*($I16-16)/$I16*$F$4)</f>
        <v>49500</v>
      </c>
      <c r="AB16" s="103">
        <f>($F16/$I16)+($F16*($I16-17)/$I16*$F$4)</f>
        <v>48375</v>
      </c>
      <c r="AC16" s="103">
        <f>($F16/$I16)+($F16*($I16-18)/$I16*$F$4)</f>
        <v>47250</v>
      </c>
      <c r="AD16" s="103">
        <f>($F16/$I16)+($F16*($I16-19)/$I16*$F$4)</f>
        <v>46125</v>
      </c>
      <c r="AE16">
        <v>0</v>
      </c>
    </row>
    <row r="17" spans="1:32" ht="12.75" customHeight="1" x14ac:dyDescent="0.25">
      <c r="A17" s="2" t="s">
        <v>126</v>
      </c>
      <c r="B17" s="6">
        <v>25</v>
      </c>
      <c r="C17" s="8" t="s">
        <v>10</v>
      </c>
      <c r="D17" s="2" t="s">
        <v>20</v>
      </c>
      <c r="E17" s="2"/>
      <c r="F17" s="116">
        <v>100000</v>
      </c>
      <c r="G17" s="8" t="s">
        <v>4</v>
      </c>
      <c r="H17" s="3">
        <f t="shared" si="0"/>
        <v>13750</v>
      </c>
      <c r="I17" s="5">
        <v>10</v>
      </c>
      <c r="J17" s="121">
        <v>0</v>
      </c>
      <c r="K17" s="92">
        <f t="shared" si="2"/>
        <v>12500</v>
      </c>
      <c r="L17" s="92">
        <f t="shared" si="3"/>
        <v>12250</v>
      </c>
      <c r="M17" s="92">
        <f t="shared" si="4"/>
        <v>12000</v>
      </c>
      <c r="N17" s="92">
        <f t="shared" si="5"/>
        <v>11750</v>
      </c>
      <c r="O17" s="103">
        <f t="shared" si="6"/>
        <v>11500</v>
      </c>
      <c r="P17" s="103">
        <f>($F17/$I17)+($F17*($I17-5)/$I17*$F$4)</f>
        <v>11250</v>
      </c>
      <c r="Q17" s="103">
        <f>($F17/$I17)+($F17*($I17-6)/$I17*$F$4)</f>
        <v>11000</v>
      </c>
      <c r="R17" s="103">
        <f>($F17/$I17)+($F17*($I17-7)/$I17*$F$4)</f>
        <v>10750</v>
      </c>
      <c r="S17" s="103">
        <f>($F17/$I17)+($F17*($I17-8)/$I17*$F$4)</f>
        <v>10500</v>
      </c>
      <c r="T17" s="103">
        <f>($F17/$I17)+($F17*($I17-9)/$I17*$F$4)</f>
        <v>10250</v>
      </c>
      <c r="U17" s="103">
        <v>0</v>
      </c>
      <c r="V17" s="103"/>
      <c r="W17" s="103"/>
      <c r="X17" s="103"/>
      <c r="Y17" s="117"/>
      <c r="Z17" s="117"/>
      <c r="AA17" s="117"/>
      <c r="AB17" s="117"/>
      <c r="AC17" s="117"/>
      <c r="AD17" s="117"/>
      <c r="AE17" s="32"/>
    </row>
    <row r="18" spans="1:32" ht="12.75" customHeight="1" x14ac:dyDescent="0.25">
      <c r="A18" s="9" t="s">
        <v>60</v>
      </c>
      <c r="B18" s="7">
        <v>25</v>
      </c>
      <c r="C18" s="8" t="s">
        <v>10</v>
      </c>
      <c r="D18" s="2" t="s">
        <v>26</v>
      </c>
      <c r="E18" s="2"/>
      <c r="F18" s="18">
        <v>1000000</v>
      </c>
      <c r="G18" s="8" t="s">
        <v>4</v>
      </c>
      <c r="H18" s="3">
        <f t="shared" si="0"/>
        <v>200000</v>
      </c>
      <c r="I18" s="8">
        <v>15</v>
      </c>
      <c r="J18" s="114">
        <v>0</v>
      </c>
      <c r="K18" s="92">
        <f t="shared" si="2"/>
        <v>91666.666666666672</v>
      </c>
      <c r="L18" s="92">
        <f t="shared" si="3"/>
        <v>90000</v>
      </c>
      <c r="M18" s="92">
        <f t="shared" si="4"/>
        <v>88333.333333333343</v>
      </c>
      <c r="N18" s="92">
        <f t="shared" si="5"/>
        <v>86666.666666666672</v>
      </c>
      <c r="O18" s="103">
        <f t="shared" si="6"/>
        <v>85000</v>
      </c>
      <c r="P18" s="103">
        <f>($F18/$I18)+($F18*($I18-5)/$I18*$F$4)</f>
        <v>83333.333333333343</v>
      </c>
      <c r="Q18" s="103">
        <f>($F18/$I18)+($F18*($I18-6)/$I18*$F$4)</f>
        <v>81666.666666666672</v>
      </c>
      <c r="R18" s="103">
        <f>($F18/$I18)+($F18*($I18-7)/$I18*$F$4)</f>
        <v>80000</v>
      </c>
      <c r="S18" s="103">
        <f>($F18/$I18)+($F18*($I18-8)/$I18*$F$4)</f>
        <v>78333.333333333343</v>
      </c>
      <c r="T18" s="103">
        <f>($F18/$I18)+($F18*($I18-9)/$I18*$F$4)</f>
        <v>76666.666666666672</v>
      </c>
      <c r="U18" s="103">
        <f>($F18/$I18)+($F18*($I18-10)/$I18*$F$4)</f>
        <v>75000</v>
      </c>
      <c r="V18" s="103">
        <f>($F18/$I18)+($F18*($I18-11)/$I18*$F$4)</f>
        <v>73333.333333333343</v>
      </c>
      <c r="W18" s="103">
        <f>($F18/$I18)+($F18*($I18-12)/$I18*$F$4)</f>
        <v>71666.666666666672</v>
      </c>
      <c r="X18" s="103">
        <f>($F18/$I18)+($F18*($I18-13)/$I18*$F$4)</f>
        <v>70000</v>
      </c>
      <c r="Y18" s="103">
        <f>($F18/$I18)+($F18*($I18-14)/$I18*$F$4)</f>
        <v>68333.333333333343</v>
      </c>
      <c r="Z18" s="117">
        <v>0</v>
      </c>
      <c r="AA18" s="117"/>
      <c r="AB18" s="117"/>
      <c r="AC18" s="117"/>
      <c r="AD18" s="117"/>
    </row>
    <row r="19" spans="1:32" ht="12.75" customHeight="1" x14ac:dyDescent="0.25">
      <c r="A19" s="9" t="s">
        <v>166</v>
      </c>
      <c r="B19" s="7">
        <v>25</v>
      </c>
      <c r="C19" s="8" t="s">
        <v>10</v>
      </c>
      <c r="D19" s="2" t="s">
        <v>26</v>
      </c>
      <c r="E19" s="2"/>
      <c r="F19" s="66">
        <v>100000</v>
      </c>
      <c r="G19" s="67" t="s">
        <v>4</v>
      </c>
      <c r="H19" s="3">
        <f t="shared" si="0"/>
        <v>7500</v>
      </c>
      <c r="I19" s="19">
        <v>5</v>
      </c>
      <c r="J19" s="114">
        <v>0</v>
      </c>
      <c r="K19" s="92">
        <f t="shared" si="2"/>
        <v>22500</v>
      </c>
      <c r="L19" s="92">
        <f t="shared" si="3"/>
        <v>22000</v>
      </c>
      <c r="M19" s="92">
        <f t="shared" si="4"/>
        <v>21500</v>
      </c>
      <c r="N19" s="92">
        <f t="shared" si="5"/>
        <v>21000</v>
      </c>
      <c r="O19" s="103">
        <f t="shared" si="6"/>
        <v>20500</v>
      </c>
      <c r="P19" s="117">
        <v>0</v>
      </c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</row>
    <row r="20" spans="1:32" ht="12.75" customHeight="1" x14ac:dyDescent="0.25">
      <c r="A20" s="9" t="s">
        <v>167</v>
      </c>
      <c r="B20" s="7">
        <v>25</v>
      </c>
      <c r="C20" s="8" t="s">
        <v>10</v>
      </c>
      <c r="D20" s="2" t="s">
        <v>26</v>
      </c>
      <c r="E20" s="2"/>
      <c r="F20" s="66">
        <v>400000</v>
      </c>
      <c r="G20" s="67" t="s">
        <v>4</v>
      </c>
      <c r="H20" s="3">
        <f t="shared" si="0"/>
        <v>55000</v>
      </c>
      <c r="I20" s="19">
        <v>10</v>
      </c>
      <c r="J20" s="114">
        <v>0</v>
      </c>
      <c r="K20" s="92">
        <f t="shared" si="2"/>
        <v>50000</v>
      </c>
      <c r="L20" s="92">
        <f t="shared" si="3"/>
        <v>49000</v>
      </c>
      <c r="M20" s="92">
        <f t="shared" si="4"/>
        <v>48000</v>
      </c>
      <c r="N20" s="92">
        <f t="shared" si="5"/>
        <v>47000</v>
      </c>
      <c r="O20" s="103">
        <f t="shared" si="6"/>
        <v>46000</v>
      </c>
      <c r="P20" s="103">
        <f>($F20/$I20)+($F20*($I20-5)/$I20*$F$4)</f>
        <v>45000</v>
      </c>
      <c r="Q20" s="103">
        <f>($F20/$I20)+($F20*($I20-6)/$I20*$F$4)</f>
        <v>44000</v>
      </c>
      <c r="R20" s="103">
        <f>($F20/$I20)+($F20*($I20-7)/$I20*$F$4)</f>
        <v>43000</v>
      </c>
      <c r="S20" s="103">
        <f>($F20/$I20)+($F20*($I20-8)/$I20*$F$4)</f>
        <v>42000</v>
      </c>
      <c r="T20" s="103">
        <f>($F20/$I20)+($F20*($I20-9)/$I20*$F$4)</f>
        <v>41000</v>
      </c>
      <c r="U20" s="117">
        <v>0</v>
      </c>
      <c r="V20" s="117"/>
      <c r="W20" s="117"/>
      <c r="X20" s="117"/>
      <c r="Y20" s="117"/>
      <c r="Z20" s="117"/>
      <c r="AA20" s="117"/>
      <c r="AB20" s="117"/>
      <c r="AC20" s="117"/>
      <c r="AD20" s="117"/>
    </row>
    <row r="21" spans="1:32" ht="12.75" customHeight="1" x14ac:dyDescent="0.25">
      <c r="A21" s="9" t="s">
        <v>114</v>
      </c>
      <c r="B21" s="7">
        <v>25</v>
      </c>
      <c r="C21" s="8" t="s">
        <v>10</v>
      </c>
      <c r="D21" s="2" t="s">
        <v>26</v>
      </c>
      <c r="E21" s="2"/>
      <c r="F21" s="18">
        <v>300000</v>
      </c>
      <c r="G21" s="8" t="s">
        <v>4</v>
      </c>
      <c r="H21" s="3">
        <f t="shared" si="0"/>
        <v>41250</v>
      </c>
      <c r="I21" s="19">
        <v>10</v>
      </c>
      <c r="J21" s="114">
        <v>0</v>
      </c>
      <c r="K21" s="92">
        <f t="shared" si="2"/>
        <v>37500</v>
      </c>
      <c r="L21" s="92">
        <f t="shared" si="3"/>
        <v>36750</v>
      </c>
      <c r="M21" s="92">
        <f t="shared" si="4"/>
        <v>36000</v>
      </c>
      <c r="N21" s="92">
        <f t="shared" si="5"/>
        <v>35250</v>
      </c>
      <c r="O21" s="103">
        <f t="shared" si="6"/>
        <v>34500</v>
      </c>
      <c r="P21" s="103">
        <f>($F21/$I21)+($F21*($I21-5)/$I21*$F$4)</f>
        <v>33750</v>
      </c>
      <c r="Q21" s="103">
        <f>($F21/$I21)+($F21*($I21-6)/$I21*$F$4)</f>
        <v>33000</v>
      </c>
      <c r="R21" s="103">
        <f>($F21/$I21)+($F21*($I21-7)/$I21*$F$4)</f>
        <v>32250</v>
      </c>
      <c r="S21" s="103">
        <f>($F21/$I21)+($F21*($I21-8)/$I21*$F$4)</f>
        <v>31500</v>
      </c>
      <c r="T21" s="103">
        <f>($F21/$I21)+($F21*($I21-9)/$I21*$F$4)</f>
        <v>30750</v>
      </c>
      <c r="U21" s="117">
        <v>0</v>
      </c>
      <c r="V21" s="117"/>
      <c r="W21" s="117"/>
      <c r="X21" s="117"/>
      <c r="Y21" s="117"/>
      <c r="Z21" s="117"/>
      <c r="AA21" s="117"/>
      <c r="AB21" s="117"/>
      <c r="AC21" s="117"/>
      <c r="AD21" s="117"/>
    </row>
    <row r="22" spans="1:32" ht="12.75" customHeight="1" x14ac:dyDescent="0.25">
      <c r="A22" s="9" t="s">
        <v>115</v>
      </c>
      <c r="B22" s="7">
        <v>25</v>
      </c>
      <c r="C22" s="8" t="s">
        <v>10</v>
      </c>
      <c r="D22" s="2" t="s">
        <v>24</v>
      </c>
      <c r="E22" s="2"/>
      <c r="F22" s="65">
        <v>160000</v>
      </c>
      <c r="G22" s="6" t="s">
        <v>163</v>
      </c>
      <c r="H22" s="3">
        <f t="shared" si="0"/>
        <v>0</v>
      </c>
      <c r="I22" s="19" t="s">
        <v>27</v>
      </c>
      <c r="J22" s="114">
        <f>F22</f>
        <v>160000</v>
      </c>
      <c r="K22" s="123">
        <v>0</v>
      </c>
      <c r="L22" s="123">
        <v>0</v>
      </c>
      <c r="M22" s="123">
        <v>0</v>
      </c>
      <c r="N22" s="123">
        <v>0</v>
      </c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</row>
    <row r="23" spans="1:32" ht="12.75" customHeight="1" x14ac:dyDescent="0.25">
      <c r="A23" s="9" t="s">
        <v>116</v>
      </c>
      <c r="B23" s="7">
        <v>25</v>
      </c>
      <c r="C23" s="8" t="s">
        <v>10</v>
      </c>
      <c r="D23" s="2" t="s">
        <v>24</v>
      </c>
      <c r="E23" s="2"/>
      <c r="F23" s="65">
        <v>175000</v>
      </c>
      <c r="G23" s="6" t="s">
        <v>4</v>
      </c>
      <c r="H23" s="3">
        <f t="shared" si="0"/>
        <v>24062.5</v>
      </c>
      <c r="I23" s="19">
        <v>10</v>
      </c>
      <c r="J23" s="114">
        <v>0</v>
      </c>
      <c r="K23" s="92">
        <f t="shared" si="2"/>
        <v>21875</v>
      </c>
      <c r="L23" s="92">
        <f t="shared" si="3"/>
        <v>21437.5</v>
      </c>
      <c r="M23" s="92">
        <f t="shared" si="4"/>
        <v>21000</v>
      </c>
      <c r="N23" s="92">
        <f t="shared" si="5"/>
        <v>20562.5</v>
      </c>
      <c r="O23" s="103">
        <f t="shared" si="6"/>
        <v>20125</v>
      </c>
      <c r="P23" s="103">
        <f>($F23/$I23)+($F23*($I23-5)/$I23*$F$4)</f>
        <v>19687.5</v>
      </c>
      <c r="Q23" s="103">
        <f>($F23/$I23)+($F23*($I23-6)/$I23*$F$4)</f>
        <v>19250</v>
      </c>
      <c r="R23" s="103">
        <f>($F23/$I23)+($F23*($I23-7)/$I23*$F$4)</f>
        <v>18812.5</v>
      </c>
      <c r="S23" s="103">
        <f>($F23/$I23)+($F23*($I23-8)/$I23*$F$4)</f>
        <v>18375</v>
      </c>
      <c r="T23" s="103">
        <f>($F23/$I23)+($F23*($I23-9)/$I23*$F$4)</f>
        <v>17937.5</v>
      </c>
      <c r="U23" s="117">
        <v>0</v>
      </c>
      <c r="V23" s="117"/>
      <c r="W23" s="117"/>
      <c r="X23" s="117"/>
      <c r="Y23" s="117"/>
      <c r="Z23" s="117"/>
      <c r="AA23" s="117"/>
      <c r="AB23" s="117"/>
      <c r="AC23" s="117"/>
      <c r="AD23" s="117"/>
      <c r="AF23" s="32"/>
    </row>
    <row r="24" spans="1:32" ht="12.75" customHeight="1" thickBot="1" x14ac:dyDescent="0.3">
      <c r="A24" s="58" t="s">
        <v>14</v>
      </c>
      <c r="B24" s="7">
        <v>25</v>
      </c>
      <c r="C24" s="67" t="s">
        <v>23</v>
      </c>
      <c r="D24" s="2" t="s">
        <v>20</v>
      </c>
      <c r="E24" s="2"/>
      <c r="F24" s="68">
        <v>250000</v>
      </c>
      <c r="G24" s="67" t="s">
        <v>4</v>
      </c>
      <c r="H24" s="3">
        <f t="shared" si="0"/>
        <v>34375</v>
      </c>
      <c r="I24" s="19">
        <v>10</v>
      </c>
      <c r="J24" s="92">
        <v>0</v>
      </c>
      <c r="K24" s="92">
        <f>($F24/$I24)+($F24*($I24-0)/$I24*$F$4)</f>
        <v>31250</v>
      </c>
      <c r="L24" s="92">
        <f>($F24/$I24)+($F24*($I24-1)/$I24*$F$4)</f>
        <v>30625</v>
      </c>
      <c r="M24" s="92">
        <f>($F24/$I24)+($F24*($I24-2)/$I24*$F$4)</f>
        <v>30000</v>
      </c>
      <c r="N24" s="92">
        <f>($F24/$I24)+($F24*($I24-3)/$I24*$F$4)</f>
        <v>29375</v>
      </c>
      <c r="O24" s="103">
        <f>($F24/$I24)+($F24*($I24-4)/$I24*$F$4)</f>
        <v>28750</v>
      </c>
      <c r="P24" s="103">
        <f>($F24/$I24)+($F24*($I24-5)/$I24*$F$4)</f>
        <v>28125</v>
      </c>
      <c r="Q24" s="103">
        <f>($F24/$I24)+($F24*($I24-6)/$I24*$F$4)</f>
        <v>27500</v>
      </c>
      <c r="R24" s="103">
        <f>($F24/$I24)+($F24*($I24-7)/$I24*$F$4)</f>
        <v>26875</v>
      </c>
      <c r="S24" s="103">
        <f>($F24/$I24)+($F24*($I24-8)/$I24*$F$4)</f>
        <v>26250</v>
      </c>
      <c r="T24" s="103">
        <f>($F24/$I24)+($F24*($I24-9)/$I24*$F$4)</f>
        <v>25625</v>
      </c>
      <c r="U24" s="103">
        <v>0</v>
      </c>
      <c r="V24" s="103"/>
      <c r="W24" s="103"/>
      <c r="X24" s="103"/>
      <c r="Y24" s="103"/>
      <c r="Z24" s="103"/>
      <c r="AA24" s="103"/>
      <c r="AB24" s="103"/>
      <c r="AC24" s="103"/>
      <c r="AD24" s="103"/>
    </row>
    <row r="25" spans="1:32" s="38" customFormat="1" ht="15.75" thickBot="1" x14ac:dyDescent="0.3">
      <c r="F25" s="39">
        <f>SUM(F7:F24)</f>
        <v>4911000</v>
      </c>
      <c r="H25" s="39">
        <f>SUM(H7:H24)</f>
        <v>852187.5</v>
      </c>
      <c r="J25" s="122">
        <f t="shared" ref="J25:AD25" si="7">SUM(J7:J24)</f>
        <v>466000</v>
      </c>
      <c r="K25" s="122">
        <f t="shared" si="7"/>
        <v>444791.66666666669</v>
      </c>
      <c r="L25" s="122">
        <f t="shared" si="7"/>
        <v>436437.5</v>
      </c>
      <c r="M25" s="122">
        <f t="shared" si="7"/>
        <v>428083.33333333337</v>
      </c>
      <c r="N25" s="122">
        <f t="shared" si="7"/>
        <v>419729.16666666669</v>
      </c>
      <c r="O25" s="119">
        <f t="shared" si="7"/>
        <v>411375</v>
      </c>
      <c r="P25" s="119">
        <f t="shared" si="7"/>
        <v>383020.83333333337</v>
      </c>
      <c r="Q25" s="119">
        <f t="shared" si="7"/>
        <v>375166.66666666669</v>
      </c>
      <c r="R25" s="119">
        <f t="shared" si="7"/>
        <v>367312.5</v>
      </c>
      <c r="S25" s="119">
        <f t="shared" si="7"/>
        <v>359458.33333333337</v>
      </c>
      <c r="T25" s="119">
        <f t="shared" si="7"/>
        <v>351604.16666666669</v>
      </c>
      <c r="U25" s="119">
        <f t="shared" si="7"/>
        <v>221250</v>
      </c>
      <c r="V25" s="119">
        <f t="shared" si="7"/>
        <v>216458.33333333334</v>
      </c>
      <c r="W25" s="119">
        <f t="shared" si="7"/>
        <v>211666.66666666669</v>
      </c>
      <c r="X25" s="119">
        <f t="shared" si="7"/>
        <v>206875</v>
      </c>
      <c r="Y25" s="119">
        <f t="shared" si="7"/>
        <v>202083.33333333334</v>
      </c>
      <c r="Z25" s="119">
        <f t="shared" si="7"/>
        <v>50625</v>
      </c>
      <c r="AA25" s="119">
        <f t="shared" si="7"/>
        <v>49500</v>
      </c>
      <c r="AB25" s="119">
        <f t="shared" si="7"/>
        <v>48375</v>
      </c>
      <c r="AC25" s="119">
        <f t="shared" si="7"/>
        <v>47250</v>
      </c>
      <c r="AD25" s="119">
        <f t="shared" si="7"/>
        <v>46125</v>
      </c>
    </row>
    <row r="26" spans="1:32" s="22" customFormat="1" x14ac:dyDescent="0.25">
      <c r="A26" s="43"/>
      <c r="J26" s="124"/>
      <c r="K26" s="124"/>
      <c r="L26" s="124"/>
      <c r="M26" s="124"/>
      <c r="N26" s="124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</row>
    <row r="27" spans="1:32" x14ac:dyDescent="0.25">
      <c r="I27" s="21" t="s">
        <v>69</v>
      </c>
      <c r="J27" s="125">
        <f>J25-J28</f>
        <v>466000</v>
      </c>
      <c r="K27" s="125">
        <f t="shared" ref="K27:AD27" si="8">K25-K28</f>
        <v>413541.66666666669</v>
      </c>
      <c r="L27" s="125">
        <f t="shared" si="8"/>
        <v>405812.5</v>
      </c>
      <c r="M27" s="125">
        <f t="shared" si="8"/>
        <v>398083.33333333337</v>
      </c>
      <c r="N27" s="125">
        <f t="shared" si="8"/>
        <v>390354.16666666669</v>
      </c>
      <c r="O27" s="117">
        <f t="shared" si="8"/>
        <v>382625</v>
      </c>
      <c r="P27" s="117">
        <f t="shared" si="8"/>
        <v>354895.83333333337</v>
      </c>
      <c r="Q27" s="117">
        <f t="shared" si="8"/>
        <v>347666.66666666669</v>
      </c>
      <c r="R27" s="117">
        <f t="shared" si="8"/>
        <v>340437.5</v>
      </c>
      <c r="S27" s="117">
        <f t="shared" si="8"/>
        <v>333208.33333333337</v>
      </c>
      <c r="T27" s="117">
        <f t="shared" si="8"/>
        <v>325979.16666666669</v>
      </c>
      <c r="U27" s="117">
        <f t="shared" si="8"/>
        <v>221250</v>
      </c>
      <c r="V27" s="117">
        <f t="shared" si="8"/>
        <v>216458.33333333334</v>
      </c>
      <c r="W27" s="117">
        <f t="shared" si="8"/>
        <v>211666.66666666669</v>
      </c>
      <c r="X27" s="117">
        <f t="shared" si="8"/>
        <v>206875</v>
      </c>
      <c r="Y27" s="117">
        <f t="shared" si="8"/>
        <v>202083.33333333334</v>
      </c>
      <c r="Z27" s="117">
        <f t="shared" si="8"/>
        <v>50625</v>
      </c>
      <c r="AA27" s="117">
        <f t="shared" si="8"/>
        <v>49500</v>
      </c>
      <c r="AB27" s="117">
        <f t="shared" si="8"/>
        <v>48375</v>
      </c>
      <c r="AC27" s="117">
        <f t="shared" si="8"/>
        <v>47250</v>
      </c>
      <c r="AD27" s="117">
        <f t="shared" si="8"/>
        <v>46125</v>
      </c>
    </row>
    <row r="28" spans="1:32" x14ac:dyDescent="0.25">
      <c r="I28" s="21" t="s">
        <v>70</v>
      </c>
      <c r="J28" s="125">
        <f t="shared" ref="J28:AD28" si="9">SUMIF($C$7:$C$24,"School",J7:J24)</f>
        <v>0</v>
      </c>
      <c r="K28" s="125">
        <f t="shared" si="9"/>
        <v>31250</v>
      </c>
      <c r="L28" s="125">
        <f t="shared" si="9"/>
        <v>30625</v>
      </c>
      <c r="M28" s="125">
        <f t="shared" si="9"/>
        <v>30000</v>
      </c>
      <c r="N28" s="125">
        <f t="shared" si="9"/>
        <v>29375</v>
      </c>
      <c r="O28" s="117">
        <f t="shared" si="9"/>
        <v>28750</v>
      </c>
      <c r="P28" s="117">
        <f t="shared" si="9"/>
        <v>28125</v>
      </c>
      <c r="Q28" s="117">
        <f t="shared" si="9"/>
        <v>27500</v>
      </c>
      <c r="R28" s="117">
        <f t="shared" si="9"/>
        <v>26875</v>
      </c>
      <c r="S28" s="117">
        <f t="shared" si="9"/>
        <v>26250</v>
      </c>
      <c r="T28" s="117">
        <f t="shared" si="9"/>
        <v>25625</v>
      </c>
      <c r="U28" s="117">
        <f t="shared" si="9"/>
        <v>0</v>
      </c>
      <c r="V28" s="117">
        <f t="shared" si="9"/>
        <v>0</v>
      </c>
      <c r="W28" s="117">
        <f t="shared" si="9"/>
        <v>0</v>
      </c>
      <c r="X28" s="117">
        <f t="shared" si="9"/>
        <v>0</v>
      </c>
      <c r="Y28" s="117">
        <f t="shared" si="9"/>
        <v>0</v>
      </c>
      <c r="Z28" s="117">
        <f t="shared" si="9"/>
        <v>0</v>
      </c>
      <c r="AA28" s="117">
        <f t="shared" si="9"/>
        <v>0</v>
      </c>
      <c r="AB28" s="117">
        <f t="shared" si="9"/>
        <v>0</v>
      </c>
      <c r="AC28" s="117">
        <f t="shared" si="9"/>
        <v>0</v>
      </c>
      <c r="AD28" s="117">
        <f t="shared" si="9"/>
        <v>0</v>
      </c>
    </row>
    <row r="29" spans="1:32" ht="15.75" thickBot="1" x14ac:dyDescent="0.3"/>
    <row r="30" spans="1:32" x14ac:dyDescent="0.25">
      <c r="F30" s="143">
        <f>SUMIF($G$7:$G$24,"bond",$F$7:$F$24)</f>
        <v>4425000</v>
      </c>
      <c r="G30" s="87" t="s">
        <v>175</v>
      </c>
      <c r="H30" s="25"/>
      <c r="I30" s="25"/>
      <c r="J30" s="26"/>
    </row>
    <row r="31" spans="1:32" x14ac:dyDescent="0.25">
      <c r="F31" s="144">
        <f>SUMIF($G$7:$G$24,"bond - taxable",$F$7:$F$24)</f>
        <v>0</v>
      </c>
      <c r="G31" s="88" t="s">
        <v>174</v>
      </c>
      <c r="H31" s="27"/>
      <c r="I31" s="27"/>
      <c r="J31" s="28"/>
    </row>
    <row r="32" spans="1:32" x14ac:dyDescent="0.25">
      <c r="F32" s="144">
        <f>SUMIF($G$7:$G$24,"general fund - Town",$F$7:$F$24)</f>
        <v>466000</v>
      </c>
      <c r="G32" s="42" t="s">
        <v>64</v>
      </c>
      <c r="H32" s="27"/>
      <c r="I32" s="27"/>
      <c r="J32" s="28"/>
    </row>
    <row r="33" spans="6:10" x14ac:dyDescent="0.25">
      <c r="F33" s="144">
        <f>SUMIF($G$7:$G$24,"general fund - School",$F$7:$F$24)</f>
        <v>0</v>
      </c>
      <c r="G33" s="27" t="s">
        <v>65</v>
      </c>
      <c r="H33" s="27"/>
      <c r="I33" s="27"/>
      <c r="J33" s="28"/>
    </row>
    <row r="34" spans="6:10" x14ac:dyDescent="0.25">
      <c r="F34" s="144">
        <f>SUMIF($G$7:$G$24,"code fees",$F$7:$F$24)</f>
        <v>0</v>
      </c>
      <c r="G34" s="88" t="s">
        <v>152</v>
      </c>
      <c r="H34" s="27"/>
      <c r="I34" s="27"/>
      <c r="J34" s="28"/>
    </row>
    <row r="35" spans="6:10" x14ac:dyDescent="0.25">
      <c r="F35" s="144">
        <f>SUMIF($G$7:$G$24,"harbor fund",$F$7:$F$24)</f>
        <v>0</v>
      </c>
      <c r="G35" s="27" t="s">
        <v>66</v>
      </c>
      <c r="H35" s="27"/>
      <c r="I35" s="27"/>
      <c r="J35" s="28"/>
    </row>
    <row r="36" spans="6:10" ht="15.75" thickBot="1" x14ac:dyDescent="0.3">
      <c r="F36" s="145">
        <f>SUMIF($G$7:$G$24,"Sohier Park Ent. Fund",$F$7:$F$24)</f>
        <v>20000</v>
      </c>
      <c r="G36" s="24" t="s">
        <v>67</v>
      </c>
      <c r="H36" s="24"/>
      <c r="I36" s="24"/>
      <c r="J36" s="29"/>
    </row>
    <row r="37" spans="6:10" ht="15.75" thickBot="1" x14ac:dyDescent="0.3">
      <c r="F37" s="146">
        <f>SUM(F30:F36)</f>
        <v>4911000</v>
      </c>
      <c r="G37" s="16" t="s">
        <v>118</v>
      </c>
      <c r="H37" s="30"/>
      <c r="I37" s="24"/>
      <c r="J37" s="29"/>
    </row>
    <row r="39" spans="6:10" s="129" customFormat="1" x14ac:dyDescent="0.25">
      <c r="F39" s="147">
        <f>F37-F25</f>
        <v>0</v>
      </c>
      <c r="G39" s="35" t="s">
        <v>72</v>
      </c>
      <c r="H39" s="35"/>
      <c r="I39" s="35"/>
    </row>
  </sheetData>
  <sortState xmlns:xlrd2="http://schemas.microsoft.com/office/spreadsheetml/2017/richdata2" ref="A7:AE24">
    <sortCondition ref="C7:C24"/>
    <sortCondition ref="D7:D24"/>
  </sortState>
  <pageMargins left="0.7" right="0.7" top="0.75" bottom="0.75" header="0.3" footer="0.3"/>
  <pageSetup paperSize="3" scale="38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A69"/>
  <sheetViews>
    <sheetView workbookViewId="0">
      <selection activeCell="A3" sqref="A3"/>
    </sheetView>
  </sheetViews>
  <sheetFormatPr defaultRowHeight="15" x14ac:dyDescent="0.25"/>
  <cols>
    <col min="1" max="1" width="10.7109375" bestFit="1" customWidth="1"/>
    <col min="2" max="2" width="22.85546875" customWidth="1"/>
    <col min="3" max="27" width="12.5703125" customWidth="1"/>
  </cols>
  <sheetData>
    <row r="1" spans="1:27" s="31" customFormat="1" ht="23.25" x14ac:dyDescent="0.35">
      <c r="A1" s="41" t="str">
        <f>'FY 25 Capital Program'!A1</f>
        <v>Voter Approved: July 14, 2020</v>
      </c>
    </row>
    <row r="2" spans="1:27" ht="23.25" x14ac:dyDescent="0.35">
      <c r="A2" s="4" t="s">
        <v>76</v>
      </c>
    </row>
    <row r="3" spans="1:27" x14ac:dyDescent="0.25">
      <c r="A3" s="234">
        <f>'FY21 Capital Program'!A3</f>
        <v>44026</v>
      </c>
    </row>
    <row r="4" spans="1:27" x14ac:dyDescent="0.25">
      <c r="C4" s="11"/>
      <c r="D4" s="12"/>
    </row>
    <row r="6" spans="1:27" ht="15.75" thickBot="1" x14ac:dyDescent="0.3"/>
    <row r="7" spans="1:27" ht="15.75" thickBot="1" x14ac:dyDescent="0.3">
      <c r="A7" s="13" t="s">
        <v>83</v>
      </c>
      <c r="B7" s="44"/>
      <c r="C7" s="17" t="s">
        <v>1</v>
      </c>
      <c r="D7" s="17" t="s">
        <v>2</v>
      </c>
      <c r="E7" s="23" t="s">
        <v>3</v>
      </c>
      <c r="F7" s="37" t="s">
        <v>33</v>
      </c>
      <c r="G7" s="37" t="s">
        <v>34</v>
      </c>
      <c r="H7" s="37" t="s">
        <v>35</v>
      </c>
      <c r="I7" s="37" t="s">
        <v>36</v>
      </c>
      <c r="J7" s="37" t="s">
        <v>37</v>
      </c>
      <c r="K7" s="37" t="s">
        <v>38</v>
      </c>
      <c r="L7" s="37" t="s">
        <v>39</v>
      </c>
      <c r="M7" s="37" t="s">
        <v>40</v>
      </c>
      <c r="N7" s="37" t="s">
        <v>41</v>
      </c>
      <c r="O7" s="37" t="s">
        <v>42</v>
      </c>
      <c r="P7" s="37" t="s">
        <v>43</v>
      </c>
      <c r="Q7" s="37" t="s">
        <v>44</v>
      </c>
      <c r="R7" s="37" t="s">
        <v>45</v>
      </c>
      <c r="S7" s="37" t="s">
        <v>46</v>
      </c>
      <c r="T7" s="37" t="s">
        <v>47</v>
      </c>
      <c r="U7" s="37" t="s">
        <v>48</v>
      </c>
      <c r="V7" s="37" t="s">
        <v>49</v>
      </c>
      <c r="W7" s="37" t="s">
        <v>50</v>
      </c>
      <c r="X7" s="37" t="s">
        <v>51</v>
      </c>
      <c r="Y7" s="37" t="s">
        <v>59</v>
      </c>
      <c r="Z7" s="37" t="s">
        <v>91</v>
      </c>
      <c r="AA7" s="37" t="s">
        <v>105</v>
      </c>
    </row>
    <row r="8" spans="1:27" x14ac:dyDescent="0.25">
      <c r="A8" t="s">
        <v>52</v>
      </c>
      <c r="B8" s="28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</row>
    <row r="9" spans="1:27" x14ac:dyDescent="0.25">
      <c r="B9" s="28" t="s">
        <v>77</v>
      </c>
      <c r="C9" s="120">
        <v>119985.35</v>
      </c>
      <c r="D9" s="120">
        <v>116114.85</v>
      </c>
      <c r="E9" s="120">
        <v>112244.35</v>
      </c>
      <c r="F9" s="120">
        <v>108373.85</v>
      </c>
      <c r="G9" s="120">
        <v>104449.60000000001</v>
      </c>
      <c r="H9" s="120">
        <v>100471.6</v>
      </c>
      <c r="I9" s="120">
        <v>96439.84</v>
      </c>
      <c r="J9" s="120">
        <v>92354.32</v>
      </c>
      <c r="K9" s="120">
        <v>88161.279999999999</v>
      </c>
      <c r="L9" s="120">
        <v>0</v>
      </c>
      <c r="M9" s="120">
        <v>0</v>
      </c>
      <c r="N9" s="120">
        <v>0</v>
      </c>
      <c r="O9" s="120">
        <v>0</v>
      </c>
      <c r="P9" s="120">
        <v>0</v>
      </c>
      <c r="Q9" s="120">
        <v>0</v>
      </c>
      <c r="R9" s="120">
        <v>0</v>
      </c>
      <c r="S9" s="120">
        <v>0</v>
      </c>
      <c r="T9" s="120">
        <v>0</v>
      </c>
      <c r="U9" s="120">
        <v>0</v>
      </c>
      <c r="V9" s="120">
        <v>0</v>
      </c>
      <c r="W9" s="120">
        <v>0</v>
      </c>
      <c r="X9" s="120">
        <v>0</v>
      </c>
      <c r="Y9" s="120">
        <v>0</v>
      </c>
      <c r="Z9" s="120">
        <v>0</v>
      </c>
      <c r="AA9" s="120">
        <v>0</v>
      </c>
    </row>
    <row r="10" spans="1:27" x14ac:dyDescent="0.25">
      <c r="B10" s="28" t="s">
        <v>78</v>
      </c>
      <c r="C10" s="168">
        <f>17666.3+106473.37</f>
        <v>124139.67</v>
      </c>
      <c r="D10" s="168">
        <f>103038.77+17096.4</f>
        <v>120135.17000000001</v>
      </c>
      <c r="E10" s="168">
        <f>16526.54+99604.13</f>
        <v>116130.67000000001</v>
      </c>
      <c r="F10" s="168">
        <f>15956.66+96169.51</f>
        <v>112126.17</v>
      </c>
      <c r="G10" s="168">
        <f>15378.86+92687.18</f>
        <v>108066.04</v>
      </c>
      <c r="H10" s="168">
        <f>89157.16+14793.12</f>
        <v>103950.28</v>
      </c>
      <c r="I10" s="168">
        <f>14199.51+85579.4</f>
        <v>99778.909999999989</v>
      </c>
      <c r="J10" s="168">
        <f>81953.98+13597.95</f>
        <v>95551.93</v>
      </c>
      <c r="K10" s="168">
        <f>12980.6+78233.12</f>
        <v>91213.72</v>
      </c>
      <c r="L10" s="120">
        <v>0</v>
      </c>
      <c r="M10" s="120">
        <v>0</v>
      </c>
      <c r="N10" s="120">
        <v>0</v>
      </c>
      <c r="O10" s="120">
        <v>0</v>
      </c>
      <c r="P10" s="120">
        <v>0</v>
      </c>
      <c r="Q10" s="120">
        <v>0</v>
      </c>
      <c r="R10" s="120">
        <v>0</v>
      </c>
      <c r="S10" s="120">
        <v>0</v>
      </c>
      <c r="T10" s="120">
        <v>0</v>
      </c>
      <c r="U10" s="120">
        <v>0</v>
      </c>
      <c r="V10" s="120">
        <v>0</v>
      </c>
      <c r="W10" s="120">
        <v>0</v>
      </c>
      <c r="X10" s="120">
        <v>0</v>
      </c>
      <c r="Y10" s="120">
        <v>0</v>
      </c>
      <c r="Z10" s="120">
        <v>0</v>
      </c>
      <c r="AA10" s="120">
        <v>0</v>
      </c>
    </row>
    <row r="11" spans="1:27" x14ac:dyDescent="0.25">
      <c r="A11" t="s">
        <v>53</v>
      </c>
      <c r="B11" s="28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</row>
    <row r="12" spans="1:27" x14ac:dyDescent="0.25">
      <c r="B12" s="28" t="s">
        <v>77</v>
      </c>
      <c r="C12" s="120">
        <f>131975.59+22330+10168.12+10168.12+16946.88+16946.9+16946.88+67787.5+10168.12+7456.62+64398.12+28847.23+27115+54230</f>
        <v>485485.07999999996</v>
      </c>
      <c r="D12" s="120">
        <f>133013.09+9943.12+9943.12+16571.88+16571.9+16571.88+66287.5+9943.12+7291.62+62973.12+28209.73+26515+53030</f>
        <v>456865.07999999996</v>
      </c>
      <c r="E12" s="120">
        <f>129990.59+9718.12+9718.12+16196.88+16196.9+16196.88+64787.5+9718.12+7126.62+61548.12+27572.23+25915+51830</f>
        <v>446515.07999999996</v>
      </c>
      <c r="F12" s="120">
        <f>126842.15+9483.74+9483.74+15806.26+15806.27+15806.26+63225+9483.74+6954.74+60063.74+26908.17+25290+50580</f>
        <v>435733.80999999994</v>
      </c>
      <c r="G12" s="120">
        <f>123542.58+9238.11+9238.11+15396.89+15396.89+15396.89+61587.5+9238.11+6774.61+58508.11+26212.23+24635+49270</f>
        <v>424435.02999999997</v>
      </c>
      <c r="H12" s="120">
        <f>120167.45+8986.86+8986.86+14978.14+14978.14+14978.14+59912.5+8986.86+6590.36+56916.86+25500.35+23965+47930</f>
        <v>412877.51999999996</v>
      </c>
      <c r="I12" s="120">
        <f>116691.57+8728.11+8728.11+14546.89+14546.89+14546.89+58187.5+8728.11+6400.61+55278.11+24767.22+23275+46550</f>
        <v>400975.01</v>
      </c>
      <c r="J12" s="120">
        <f>113165.31+8465.61+8465.61+14109.39+14109.39+14109.39+56437.5+8465.61+6208.11+53615.61+24023.46+22575+45150</f>
        <v>388899.99</v>
      </c>
      <c r="K12" s="120">
        <f>104666.71+8198.42+8198.42+13664.08+13664.08+13664.08+54656.25+8198.42+6012.17+51923.42+23266.42+21862.5+43725</f>
        <v>371699.97</v>
      </c>
      <c r="L12" s="120">
        <f>101135.93+7921.86+7921.86+13203.14+13203.14+13203.14+52812.5+7921.86+5809.36+50171.86+22482.82+21125+42250</f>
        <v>359162.47</v>
      </c>
      <c r="M12" s="120">
        <f>97545.31+7640.62+7640.62+12734.38+12734.38+12734.38+50937.5+7640.62+5603.12+48390.62+22667.19+20375+40750</f>
        <v>347393.74</v>
      </c>
      <c r="N12" s="120">
        <v>0</v>
      </c>
      <c r="O12" s="120">
        <v>0</v>
      </c>
      <c r="P12" s="120">
        <v>0</v>
      </c>
      <c r="Q12" s="120">
        <v>0</v>
      </c>
      <c r="R12" s="120">
        <v>0</v>
      </c>
      <c r="S12" s="120">
        <v>0</v>
      </c>
      <c r="T12" s="120">
        <v>0</v>
      </c>
      <c r="U12" s="120">
        <v>0</v>
      </c>
      <c r="V12" s="120">
        <v>0</v>
      </c>
      <c r="W12" s="120">
        <v>0</v>
      </c>
      <c r="X12" s="120">
        <v>0</v>
      </c>
      <c r="Y12" s="120">
        <v>0</v>
      </c>
      <c r="Z12" s="120">
        <v>0</v>
      </c>
      <c r="AA12" s="120">
        <v>0</v>
      </c>
    </row>
    <row r="13" spans="1:27" x14ac:dyDescent="0.25">
      <c r="B13" s="28" t="s">
        <v>78</v>
      </c>
      <c r="C13" s="168">
        <f>12180+16946.88+10168.12-0.08</f>
        <v>39294.92</v>
      </c>
      <c r="D13" s="168">
        <f>16571.88+9943.12-0.08</f>
        <v>26514.92</v>
      </c>
      <c r="E13" s="168">
        <f>16196.88+9718.12-0.08</f>
        <v>25914.92</v>
      </c>
      <c r="F13" s="168">
        <f>15806.26+9483.74-0.06</f>
        <v>25289.94</v>
      </c>
      <c r="G13" s="168">
        <f>15396.89+9238.11-0.03</f>
        <v>24634.97</v>
      </c>
      <c r="H13" s="168">
        <f>14978.14+8986.86-0.02</f>
        <v>23964.98</v>
      </c>
      <c r="I13" s="168">
        <f>14546.89+8728.11-0.01</f>
        <v>23274.99</v>
      </c>
      <c r="J13" s="168">
        <f>14109.39+8465.61+0.01</f>
        <v>22575.01</v>
      </c>
      <c r="K13" s="168">
        <f>13664.08+8198.42+0.03</f>
        <v>21862.53</v>
      </c>
      <c r="L13" s="168">
        <f>13203.14+7921.86+0.03</f>
        <v>21125.03</v>
      </c>
      <c r="M13" s="168">
        <f>12734.38+7640.62+0.01</f>
        <v>20375.009999999998</v>
      </c>
      <c r="N13" s="120">
        <v>0</v>
      </c>
      <c r="O13" s="120">
        <v>0</v>
      </c>
      <c r="P13" s="120">
        <v>0</v>
      </c>
      <c r="Q13" s="120">
        <v>0</v>
      </c>
      <c r="R13" s="120">
        <v>0</v>
      </c>
      <c r="S13" s="120">
        <v>0</v>
      </c>
      <c r="T13" s="120">
        <v>0</v>
      </c>
      <c r="U13" s="120">
        <v>0</v>
      </c>
      <c r="V13" s="120">
        <v>0</v>
      </c>
      <c r="W13" s="120">
        <v>0</v>
      </c>
      <c r="X13" s="120">
        <v>0</v>
      </c>
      <c r="Y13" s="120">
        <v>0</v>
      </c>
      <c r="Z13" s="120">
        <v>0</v>
      </c>
      <c r="AA13" s="120">
        <v>0</v>
      </c>
    </row>
    <row r="14" spans="1:27" s="22" customFormat="1" x14ac:dyDescent="0.25">
      <c r="A14" s="22" t="s">
        <v>54</v>
      </c>
      <c r="B14" s="50"/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</row>
    <row r="15" spans="1:27" s="22" customFormat="1" x14ac:dyDescent="0.25">
      <c r="B15" s="50" t="s">
        <v>77</v>
      </c>
      <c r="C15" s="169">
        <v>627393.68000000005</v>
      </c>
      <c r="D15" s="169">
        <v>617184.30000000005</v>
      </c>
      <c r="E15" s="169">
        <v>517267.42</v>
      </c>
      <c r="F15" s="169">
        <v>507547.42</v>
      </c>
      <c r="G15" s="169">
        <v>497017.42</v>
      </c>
      <c r="H15" s="169">
        <v>485981.17</v>
      </c>
      <c r="I15" s="169">
        <v>474337.42</v>
      </c>
      <c r="J15" s="169">
        <v>462187.42</v>
      </c>
      <c r="K15" s="169">
        <v>450037.42</v>
      </c>
      <c r="L15" s="169">
        <v>437634.3</v>
      </c>
      <c r="M15" s="169">
        <v>424724.93</v>
      </c>
      <c r="N15" s="169">
        <v>410992.84</v>
      </c>
      <c r="O15" s="170">
        <v>0</v>
      </c>
      <c r="P15" s="170">
        <v>0</v>
      </c>
      <c r="Q15" s="170">
        <v>0</v>
      </c>
      <c r="R15" s="170">
        <v>0</v>
      </c>
      <c r="S15" s="170">
        <v>0</v>
      </c>
      <c r="T15" s="170">
        <v>0</v>
      </c>
      <c r="U15" s="170">
        <v>0</v>
      </c>
      <c r="V15" s="170">
        <v>0</v>
      </c>
      <c r="W15" s="170">
        <v>0</v>
      </c>
      <c r="X15" s="170">
        <v>0</v>
      </c>
      <c r="Y15" s="170">
        <v>0</v>
      </c>
      <c r="Z15" s="170">
        <v>0</v>
      </c>
      <c r="AA15" s="170">
        <v>0</v>
      </c>
    </row>
    <row r="16" spans="1:27" x14ac:dyDescent="0.25">
      <c r="A16" t="s">
        <v>55</v>
      </c>
      <c r="B16" s="28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</row>
    <row r="17" spans="1:27" x14ac:dyDescent="0.25">
      <c r="B17" s="28" t="s">
        <v>77</v>
      </c>
      <c r="C17" s="120">
        <f>21118.78+27733.98+18895.58+7885+15761.78</f>
        <v>91395.12</v>
      </c>
      <c r="D17" s="120">
        <f>20788.78+27298.98+18595.58+7735+15511.78</f>
        <v>89930.12</v>
      </c>
      <c r="E17" s="120">
        <f>19963.78+26863.98+18295.58+8080+15261.78</f>
        <v>88465.12</v>
      </c>
      <c r="F17" s="120">
        <f>22613.78+28408.98+18985.58+16001.78</f>
        <v>86010.12</v>
      </c>
      <c r="G17" s="120">
        <f>22233.78+27933.98+18665.58+15731.78</f>
        <v>84565.119999999995</v>
      </c>
      <c r="H17" s="120">
        <f>21853.78+27458.98+18345.58+15461.78</f>
        <v>83120.12</v>
      </c>
      <c r="I17" s="120">
        <f>21473.78+26983.98+18025.58+15191.78</f>
        <v>81675.12</v>
      </c>
      <c r="J17" s="120">
        <f>19608.78+26310.98+16418.58+12941.78</f>
        <v>75280.12</v>
      </c>
      <c r="K17" s="120">
        <f>19250.03+25828.2+16117.23+12706.03</f>
        <v>73901.489999999991</v>
      </c>
      <c r="L17" s="120">
        <f>18878.15+25327.76+15804.85+12461.65</f>
        <v>72472.41</v>
      </c>
      <c r="M17" s="120">
        <f>18501.89+24821.44+15488.79+13203.64</f>
        <v>72015.760000000009</v>
      </c>
      <c r="N17" s="120">
        <f>18116.88+24303.34+15165.38+12928.63</f>
        <v>70514.23</v>
      </c>
      <c r="O17" s="120">
        <f>17710+20594.2+12650+12144</f>
        <v>63098.2</v>
      </c>
      <c r="P17" s="120">
        <v>0</v>
      </c>
      <c r="Q17" s="120">
        <v>0</v>
      </c>
      <c r="R17" s="120">
        <v>0</v>
      </c>
      <c r="S17" s="120">
        <v>0</v>
      </c>
      <c r="T17" s="120">
        <v>0</v>
      </c>
      <c r="U17" s="120">
        <v>0</v>
      </c>
      <c r="V17" s="120">
        <v>0</v>
      </c>
      <c r="W17" s="120">
        <v>0</v>
      </c>
      <c r="X17" s="120">
        <v>0</v>
      </c>
      <c r="Y17" s="120">
        <v>0</v>
      </c>
      <c r="Z17" s="120">
        <v>0</v>
      </c>
      <c r="AA17" s="120">
        <v>0</v>
      </c>
    </row>
    <row r="18" spans="1:27" x14ac:dyDescent="0.25">
      <c r="B18" s="28" t="s">
        <v>78</v>
      </c>
      <c r="C18" s="171">
        <f>123135.88-0.1</f>
        <v>123135.78</v>
      </c>
      <c r="D18" s="171">
        <f>121100.88-0.1</f>
        <v>121100.78</v>
      </c>
      <c r="E18" s="171">
        <f>119065.88-0.1</f>
        <v>119065.78</v>
      </c>
      <c r="F18" s="171">
        <f>93270.88-0.1</f>
        <v>93270.78</v>
      </c>
      <c r="G18" s="171">
        <f>91715.88-0.1</f>
        <v>91715.78</v>
      </c>
      <c r="H18" s="171">
        <f>90160.88-0.1</f>
        <v>90160.78</v>
      </c>
      <c r="I18" s="171">
        <f>88605.88-0.1</f>
        <v>88605.78</v>
      </c>
      <c r="J18" s="171">
        <f>87050.88-0.1</f>
        <v>87050.78</v>
      </c>
      <c r="K18" s="171">
        <f>85457-0.09</f>
        <v>85456.91</v>
      </c>
      <c r="L18" s="171">
        <f>83804.81-0.07</f>
        <v>83804.739999999991</v>
      </c>
      <c r="M18" s="171">
        <f>81143.94-0.05</f>
        <v>81143.89</v>
      </c>
      <c r="N18" s="171">
        <f>79455.44-0.02</f>
        <v>79455.42</v>
      </c>
      <c r="O18" s="171">
        <v>77671</v>
      </c>
      <c r="P18" s="120">
        <v>0</v>
      </c>
      <c r="Q18" s="120">
        <v>0</v>
      </c>
      <c r="R18" s="120">
        <v>0</v>
      </c>
      <c r="S18" s="120">
        <v>0</v>
      </c>
      <c r="T18" s="120">
        <v>0</v>
      </c>
      <c r="U18" s="120">
        <v>0</v>
      </c>
      <c r="V18" s="120">
        <v>0</v>
      </c>
      <c r="W18" s="120">
        <v>0</v>
      </c>
      <c r="X18" s="120">
        <v>0</v>
      </c>
      <c r="Y18" s="120">
        <v>0</v>
      </c>
      <c r="Z18" s="120">
        <v>0</v>
      </c>
      <c r="AA18" s="120">
        <v>0</v>
      </c>
    </row>
    <row r="19" spans="1:27" x14ac:dyDescent="0.25">
      <c r="A19" t="s">
        <v>56</v>
      </c>
      <c r="B19" s="28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</row>
    <row r="20" spans="1:27" x14ac:dyDescent="0.25">
      <c r="B20" s="28" t="s">
        <v>77</v>
      </c>
      <c r="C20" s="168">
        <v>149126.5</v>
      </c>
      <c r="D20" s="168">
        <v>146126.5</v>
      </c>
      <c r="E20" s="168">
        <v>142526.5</v>
      </c>
      <c r="F20" s="168">
        <v>138926.5</v>
      </c>
      <c r="G20" s="168">
        <v>66376.5</v>
      </c>
      <c r="H20" s="168">
        <v>64876.5</v>
      </c>
      <c r="I20" s="168">
        <v>63339</v>
      </c>
      <c r="J20" s="168">
        <v>61726.5</v>
      </c>
      <c r="K20" s="168">
        <v>60026.5</v>
      </c>
      <c r="L20" s="168">
        <v>58239</v>
      </c>
      <c r="M20" s="168">
        <v>56376.5</v>
      </c>
      <c r="N20" s="168">
        <v>49526.5</v>
      </c>
      <c r="O20" s="168">
        <v>47715.25</v>
      </c>
      <c r="P20" s="168">
        <v>44902</v>
      </c>
      <c r="Q20" s="168">
        <v>0</v>
      </c>
      <c r="R20" s="168">
        <v>0</v>
      </c>
      <c r="S20" s="168">
        <v>0</v>
      </c>
      <c r="T20" s="168">
        <v>0</v>
      </c>
      <c r="U20" s="168">
        <v>0</v>
      </c>
      <c r="V20" s="168">
        <v>0</v>
      </c>
      <c r="W20" s="168">
        <v>0</v>
      </c>
      <c r="X20" s="168">
        <v>0</v>
      </c>
      <c r="Y20" s="168">
        <v>0</v>
      </c>
      <c r="Z20" s="168">
        <v>0</v>
      </c>
      <c r="AA20" s="168">
        <v>0</v>
      </c>
    </row>
    <row r="21" spans="1:27" x14ac:dyDescent="0.25">
      <c r="B21" s="28" t="s">
        <v>78</v>
      </c>
      <c r="C21" s="168">
        <v>56610</v>
      </c>
      <c r="D21" s="168">
        <v>55485</v>
      </c>
      <c r="E21" s="168">
        <v>54135</v>
      </c>
      <c r="F21" s="168">
        <v>52785</v>
      </c>
      <c r="G21" s="168">
        <v>26810</v>
      </c>
      <c r="H21" s="168">
        <v>26210</v>
      </c>
      <c r="I21" s="168">
        <v>25595</v>
      </c>
      <c r="J21" s="168">
        <v>24950</v>
      </c>
      <c r="K21" s="168">
        <v>24270</v>
      </c>
      <c r="L21" s="168">
        <v>23555</v>
      </c>
      <c r="M21" s="168">
        <v>22810</v>
      </c>
      <c r="N21" s="168">
        <v>22030</v>
      </c>
      <c r="O21" s="168">
        <v>21225</v>
      </c>
      <c r="P21" s="168">
        <v>20410</v>
      </c>
      <c r="Q21" s="168">
        <v>0</v>
      </c>
      <c r="R21" s="168">
        <v>0</v>
      </c>
      <c r="S21" s="168">
        <v>0</v>
      </c>
      <c r="T21" s="168">
        <v>0</v>
      </c>
      <c r="U21" s="168">
        <v>0</v>
      </c>
      <c r="V21" s="168">
        <v>0</v>
      </c>
      <c r="W21" s="168">
        <v>0</v>
      </c>
      <c r="X21" s="168">
        <v>0</v>
      </c>
      <c r="Y21" s="168">
        <v>0</v>
      </c>
      <c r="Z21" s="168">
        <v>0</v>
      </c>
      <c r="AA21" s="168">
        <v>0</v>
      </c>
    </row>
    <row r="22" spans="1:27" x14ac:dyDescent="0.25">
      <c r="A22" t="s">
        <v>57</v>
      </c>
      <c r="B22" s="28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20"/>
      <c r="Y22" s="120"/>
      <c r="Z22" s="120"/>
      <c r="AA22" s="120"/>
    </row>
    <row r="23" spans="1:27" x14ac:dyDescent="0.25">
      <c r="B23" s="28" t="s">
        <v>77</v>
      </c>
      <c r="C23" s="168">
        <v>44800</v>
      </c>
      <c r="D23" s="168">
        <v>44000</v>
      </c>
      <c r="E23" s="168">
        <v>43200</v>
      </c>
      <c r="F23" s="168">
        <v>42400</v>
      </c>
      <c r="G23" s="168">
        <v>41200</v>
      </c>
      <c r="H23" s="168">
        <v>0</v>
      </c>
      <c r="I23" s="168">
        <v>0</v>
      </c>
      <c r="J23" s="168">
        <v>0</v>
      </c>
      <c r="K23" s="168">
        <v>0</v>
      </c>
      <c r="L23" s="168">
        <v>0</v>
      </c>
      <c r="M23" s="168">
        <v>0</v>
      </c>
      <c r="N23" s="168">
        <v>0</v>
      </c>
      <c r="O23" s="168">
        <v>0</v>
      </c>
      <c r="P23" s="168">
        <v>0</v>
      </c>
      <c r="Q23" s="168">
        <v>0</v>
      </c>
      <c r="R23" s="168">
        <v>0</v>
      </c>
      <c r="S23" s="168">
        <v>0</v>
      </c>
      <c r="T23" s="168">
        <v>0</v>
      </c>
      <c r="U23" s="168">
        <v>0</v>
      </c>
      <c r="V23" s="168">
        <v>0</v>
      </c>
      <c r="W23" s="168">
        <v>0</v>
      </c>
      <c r="X23" s="168">
        <v>0</v>
      </c>
      <c r="Y23" s="168">
        <v>0</v>
      </c>
      <c r="Z23" s="168">
        <v>0</v>
      </c>
      <c r="AA23" s="168">
        <v>0</v>
      </c>
    </row>
    <row r="24" spans="1:27" x14ac:dyDescent="0.25">
      <c r="B24" s="28" t="s">
        <v>78</v>
      </c>
      <c r="C24" s="168">
        <v>70362.5</v>
      </c>
      <c r="D24" s="168">
        <v>64262.5</v>
      </c>
      <c r="E24" s="168">
        <v>63262.5</v>
      </c>
      <c r="F24" s="168">
        <v>62262.5</v>
      </c>
      <c r="G24" s="168">
        <v>60762.5</v>
      </c>
      <c r="H24" s="168">
        <v>39262.5</v>
      </c>
      <c r="I24" s="168">
        <v>38362.5</v>
      </c>
      <c r="J24" s="168">
        <v>37462.5</v>
      </c>
      <c r="K24" s="168">
        <v>36562.5</v>
      </c>
      <c r="L24" s="168">
        <v>35662.5</v>
      </c>
      <c r="M24" s="168">
        <v>34762.5</v>
      </c>
      <c r="N24" s="168">
        <v>33862.5</v>
      </c>
      <c r="O24" s="168">
        <v>32925</v>
      </c>
      <c r="P24" s="168">
        <v>31950</v>
      </c>
      <c r="Q24" s="168">
        <v>30975</v>
      </c>
      <c r="R24" s="168">
        <v>0</v>
      </c>
      <c r="S24" s="168">
        <v>0</v>
      </c>
      <c r="T24" s="168">
        <v>0</v>
      </c>
      <c r="U24" s="168">
        <v>0</v>
      </c>
      <c r="V24" s="168">
        <v>0</v>
      </c>
      <c r="W24" s="168">
        <v>0</v>
      </c>
      <c r="X24" s="168">
        <v>0</v>
      </c>
      <c r="Y24" s="168">
        <v>0</v>
      </c>
      <c r="Z24" s="168">
        <v>0</v>
      </c>
      <c r="AA24" s="168">
        <v>0</v>
      </c>
    </row>
    <row r="25" spans="1:27" x14ac:dyDescent="0.25">
      <c r="A25" s="10" t="s">
        <v>58</v>
      </c>
      <c r="B25" s="28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20"/>
      <c r="Y25" s="120"/>
      <c r="Z25" s="120"/>
      <c r="AA25" s="120"/>
    </row>
    <row r="26" spans="1:27" x14ac:dyDescent="0.25">
      <c r="B26" s="28" t="s">
        <v>77</v>
      </c>
      <c r="C26" s="168">
        <v>186700</v>
      </c>
      <c r="D26" s="168">
        <v>173200</v>
      </c>
      <c r="E26" s="168">
        <v>16350</v>
      </c>
      <c r="F26" s="168">
        <v>16050</v>
      </c>
      <c r="G26" s="168">
        <v>15750</v>
      </c>
      <c r="H26" s="168">
        <v>15450</v>
      </c>
      <c r="I26" s="168">
        <v>15150</v>
      </c>
      <c r="J26" s="168">
        <v>0</v>
      </c>
      <c r="K26" s="168">
        <v>0</v>
      </c>
      <c r="L26" s="168">
        <v>0</v>
      </c>
      <c r="M26" s="168">
        <v>0</v>
      </c>
      <c r="N26" s="168">
        <v>0</v>
      </c>
      <c r="O26" s="168">
        <v>0</v>
      </c>
      <c r="P26" s="168">
        <v>0</v>
      </c>
      <c r="Q26" s="168">
        <v>0</v>
      </c>
      <c r="R26" s="168">
        <v>0</v>
      </c>
      <c r="S26" s="168">
        <v>0</v>
      </c>
      <c r="T26" s="168">
        <v>0</v>
      </c>
      <c r="U26" s="168">
        <v>0</v>
      </c>
      <c r="V26" s="168">
        <v>0</v>
      </c>
      <c r="W26" s="168">
        <v>0</v>
      </c>
      <c r="X26" s="168">
        <v>0</v>
      </c>
      <c r="Y26" s="168">
        <v>0</v>
      </c>
      <c r="Z26" s="168">
        <v>0</v>
      </c>
      <c r="AA26" s="168">
        <v>0</v>
      </c>
    </row>
    <row r="27" spans="1:27" x14ac:dyDescent="0.25">
      <c r="B27" s="28" t="s">
        <v>78</v>
      </c>
      <c r="C27" s="168">
        <v>993231.26</v>
      </c>
      <c r="D27" s="168">
        <v>942581.26</v>
      </c>
      <c r="E27" s="168">
        <v>927281.26</v>
      </c>
      <c r="F27" s="168">
        <v>911981.26</v>
      </c>
      <c r="G27" s="168">
        <v>901631.26</v>
      </c>
      <c r="H27" s="168">
        <v>886231.26</v>
      </c>
      <c r="I27" s="168">
        <v>855981.26</v>
      </c>
      <c r="J27" s="168">
        <v>840881.26</v>
      </c>
      <c r="K27" s="168">
        <v>825781.26</v>
      </c>
      <c r="L27" s="168">
        <v>810681.26</v>
      </c>
      <c r="M27" s="168">
        <v>795581.26</v>
      </c>
      <c r="N27" s="168">
        <v>780009.38</v>
      </c>
      <c r="O27" s="168">
        <v>763493.75</v>
      </c>
      <c r="P27" s="168">
        <v>0</v>
      </c>
      <c r="Q27" s="168">
        <v>0</v>
      </c>
      <c r="R27" s="168">
        <v>0</v>
      </c>
      <c r="S27" s="168">
        <v>0</v>
      </c>
      <c r="T27" s="168">
        <v>0</v>
      </c>
      <c r="U27" s="168">
        <v>0</v>
      </c>
      <c r="V27" s="168">
        <v>0</v>
      </c>
      <c r="W27" s="168">
        <v>0</v>
      </c>
      <c r="X27" s="168">
        <v>0</v>
      </c>
      <c r="Y27" s="168">
        <v>0</v>
      </c>
      <c r="Z27" s="168">
        <v>0</v>
      </c>
      <c r="AA27" s="168">
        <v>0</v>
      </c>
    </row>
    <row r="28" spans="1:27" x14ac:dyDescent="0.25">
      <c r="A28" t="s">
        <v>79</v>
      </c>
      <c r="B28" s="28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20"/>
      <c r="Y28" s="120"/>
      <c r="Z28" s="120"/>
      <c r="AA28" s="120"/>
    </row>
    <row r="29" spans="1:27" x14ac:dyDescent="0.25">
      <c r="B29" s="28" t="s">
        <v>77</v>
      </c>
      <c r="C29" s="168">
        <v>651456.24</v>
      </c>
      <c r="D29" s="168">
        <v>563526.24</v>
      </c>
      <c r="E29" s="168">
        <v>519706.24</v>
      </c>
      <c r="F29" s="168">
        <v>328066.24</v>
      </c>
      <c r="G29" s="168">
        <v>317316.24</v>
      </c>
      <c r="H29" s="168">
        <v>311616.24</v>
      </c>
      <c r="I29" s="168">
        <v>305916.24</v>
      </c>
      <c r="J29" s="168">
        <v>298236.24</v>
      </c>
      <c r="K29" s="168">
        <v>81662.490000000005</v>
      </c>
      <c r="L29" s="168">
        <v>75228.12</v>
      </c>
      <c r="M29" s="168">
        <v>73765.62</v>
      </c>
      <c r="N29" s="168">
        <v>72140.62</v>
      </c>
      <c r="O29" s="168">
        <v>70393.75</v>
      </c>
      <c r="P29" s="168">
        <v>34050</v>
      </c>
      <c r="Q29" s="168">
        <v>33150</v>
      </c>
      <c r="R29" s="168">
        <v>32250</v>
      </c>
      <c r="S29" s="168">
        <v>31350</v>
      </c>
      <c r="T29" s="168">
        <v>30450</v>
      </c>
      <c r="U29" s="168">
        <v>0</v>
      </c>
      <c r="V29" s="168">
        <v>0</v>
      </c>
      <c r="W29" s="168">
        <v>0</v>
      </c>
      <c r="X29" s="120">
        <v>0</v>
      </c>
      <c r="Y29" s="120">
        <v>0</v>
      </c>
      <c r="Z29" s="120">
        <v>0</v>
      </c>
      <c r="AA29" s="120">
        <v>0</v>
      </c>
    </row>
    <row r="30" spans="1:27" x14ac:dyDescent="0.25">
      <c r="B30" s="28" t="s">
        <v>78</v>
      </c>
      <c r="C30" s="203">
        <v>154300</v>
      </c>
      <c r="D30" s="168">
        <v>133680</v>
      </c>
      <c r="E30" s="168">
        <v>130250</v>
      </c>
      <c r="F30" s="168">
        <v>92190</v>
      </c>
      <c r="G30" s="168">
        <v>85540</v>
      </c>
      <c r="H30" s="168">
        <v>83940</v>
      </c>
      <c r="I30" s="168">
        <v>82340</v>
      </c>
      <c r="J30" s="168">
        <v>77770</v>
      </c>
      <c r="K30" s="168">
        <v>0</v>
      </c>
      <c r="L30" s="168">
        <v>0</v>
      </c>
      <c r="M30" s="168">
        <v>0</v>
      </c>
      <c r="N30" s="168">
        <v>0</v>
      </c>
      <c r="O30" s="168">
        <v>0</v>
      </c>
      <c r="P30" s="168">
        <v>0</v>
      </c>
      <c r="Q30" s="168">
        <v>0</v>
      </c>
      <c r="R30" s="168">
        <v>0</v>
      </c>
      <c r="S30" s="168">
        <v>0</v>
      </c>
      <c r="T30" s="168">
        <v>0</v>
      </c>
      <c r="U30" s="120">
        <v>0</v>
      </c>
      <c r="V30" s="120">
        <v>0</v>
      </c>
      <c r="W30" s="120">
        <v>0</v>
      </c>
      <c r="X30" s="120">
        <v>0</v>
      </c>
      <c r="Y30" s="120">
        <v>0</v>
      </c>
      <c r="Z30" s="120">
        <v>0</v>
      </c>
      <c r="AA30" s="120">
        <v>0</v>
      </c>
    </row>
    <row r="31" spans="1:27" x14ac:dyDescent="0.25">
      <c r="A31" s="22" t="s">
        <v>177</v>
      </c>
      <c r="B31" s="50"/>
      <c r="C31" s="201"/>
      <c r="D31" s="201"/>
      <c r="E31" s="201"/>
      <c r="F31" s="201"/>
      <c r="G31" s="201"/>
      <c r="H31" s="201"/>
      <c r="I31" s="201"/>
      <c r="J31" s="201"/>
      <c r="K31" s="201"/>
      <c r="L31" s="201"/>
      <c r="M31" s="201"/>
      <c r="N31" s="201"/>
      <c r="O31" s="201"/>
      <c r="P31" s="201"/>
      <c r="Q31" s="201"/>
      <c r="R31" s="201"/>
      <c r="S31" s="201"/>
      <c r="T31" s="201"/>
      <c r="U31" s="201"/>
      <c r="V31" s="201"/>
      <c r="W31" s="201"/>
      <c r="X31" s="169"/>
      <c r="Y31" s="169"/>
      <c r="Z31" s="169"/>
      <c r="AA31" s="169"/>
    </row>
    <row r="32" spans="1:27" x14ac:dyDescent="0.25">
      <c r="A32" s="22"/>
      <c r="B32" s="50" t="s">
        <v>77</v>
      </c>
      <c r="C32" s="201">
        <v>253100</v>
      </c>
      <c r="D32" s="201">
        <v>242175</v>
      </c>
      <c r="E32" s="201">
        <v>231400</v>
      </c>
      <c r="F32" s="201">
        <v>225700</v>
      </c>
      <c r="G32" s="201">
        <v>185525</v>
      </c>
      <c r="H32" s="201">
        <v>175950</v>
      </c>
      <c r="I32" s="201">
        <v>171450</v>
      </c>
      <c r="J32" s="201">
        <v>162025</v>
      </c>
      <c r="K32" s="201">
        <v>157675</v>
      </c>
      <c r="L32" s="201">
        <v>79450</v>
      </c>
      <c r="M32" s="201">
        <v>77350</v>
      </c>
      <c r="N32" s="201">
        <v>75250</v>
      </c>
      <c r="O32" s="201">
        <v>73150</v>
      </c>
      <c r="P32" s="201">
        <v>71050</v>
      </c>
      <c r="Q32" s="201">
        <v>0</v>
      </c>
      <c r="R32" s="201">
        <v>0</v>
      </c>
      <c r="S32" s="201">
        <v>0</v>
      </c>
      <c r="T32" s="201">
        <v>0</v>
      </c>
      <c r="U32" s="201">
        <v>0</v>
      </c>
      <c r="V32" s="201">
        <v>0</v>
      </c>
      <c r="W32" s="201">
        <v>0</v>
      </c>
      <c r="X32" s="169">
        <v>0</v>
      </c>
      <c r="Y32" s="169">
        <v>0</v>
      </c>
      <c r="Z32" s="169">
        <v>0</v>
      </c>
      <c r="AA32" s="169">
        <v>0</v>
      </c>
    </row>
    <row r="33" spans="1:27" x14ac:dyDescent="0.25">
      <c r="A33" s="22"/>
      <c r="B33" s="50" t="s">
        <v>78</v>
      </c>
      <c r="C33" s="204">
        <v>192075</v>
      </c>
      <c r="D33" s="201">
        <v>187125</v>
      </c>
      <c r="E33" s="201">
        <v>182175</v>
      </c>
      <c r="F33" s="201">
        <v>177225</v>
      </c>
      <c r="G33" s="201">
        <v>73775</v>
      </c>
      <c r="H33" s="201">
        <v>71825</v>
      </c>
      <c r="I33" s="201">
        <v>69875</v>
      </c>
      <c r="J33" s="201">
        <v>67925</v>
      </c>
      <c r="K33" s="201">
        <v>65975</v>
      </c>
      <c r="L33" s="201">
        <v>0</v>
      </c>
      <c r="M33" s="201">
        <v>0</v>
      </c>
      <c r="N33" s="201">
        <v>0</v>
      </c>
      <c r="O33" s="201">
        <v>0</v>
      </c>
      <c r="P33" s="201">
        <v>0</v>
      </c>
      <c r="Q33" s="201">
        <v>0</v>
      </c>
      <c r="R33" s="201">
        <v>0</v>
      </c>
      <c r="S33" s="201">
        <v>0</v>
      </c>
      <c r="T33" s="201">
        <v>0</v>
      </c>
      <c r="U33" s="201">
        <v>0</v>
      </c>
      <c r="V33" s="201">
        <v>0</v>
      </c>
      <c r="W33" s="201">
        <v>0</v>
      </c>
      <c r="X33" s="201">
        <v>0</v>
      </c>
      <c r="Y33" s="201">
        <v>0</v>
      </c>
      <c r="Z33" s="201">
        <v>0</v>
      </c>
      <c r="AA33" s="201">
        <v>0</v>
      </c>
    </row>
    <row r="34" spans="1:27" x14ac:dyDescent="0.25">
      <c r="A34" s="22" t="s">
        <v>178</v>
      </c>
      <c r="B34" s="50"/>
      <c r="C34" s="201"/>
      <c r="D34" s="201"/>
      <c r="E34" s="201"/>
      <c r="F34" s="201"/>
      <c r="G34" s="201"/>
      <c r="H34" s="201"/>
      <c r="I34" s="201"/>
      <c r="J34" s="201"/>
      <c r="K34" s="201"/>
      <c r="L34" s="201"/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1"/>
      <c r="X34" s="169"/>
      <c r="Y34" s="169"/>
      <c r="Z34" s="169"/>
      <c r="AA34" s="169"/>
    </row>
    <row r="35" spans="1:27" x14ac:dyDescent="0.25">
      <c r="A35" s="22"/>
      <c r="B35" s="50" t="s">
        <v>77</v>
      </c>
      <c r="C35" s="201">
        <v>449987</v>
      </c>
      <c r="D35" s="201">
        <v>428115</v>
      </c>
      <c r="E35" s="201">
        <v>418840</v>
      </c>
      <c r="F35" s="201">
        <v>398446</v>
      </c>
      <c r="G35" s="201">
        <v>392353</v>
      </c>
      <c r="H35" s="201">
        <v>341303</v>
      </c>
      <c r="I35" s="201">
        <v>330478</v>
      </c>
      <c r="J35" s="201">
        <v>324359</v>
      </c>
      <c r="K35" s="201">
        <v>313228</v>
      </c>
      <c r="L35" s="201">
        <v>307085</v>
      </c>
      <c r="M35" s="201">
        <v>226640</v>
      </c>
      <c r="N35" s="201">
        <v>221863</v>
      </c>
      <c r="O35" s="201">
        <v>216988</v>
      </c>
      <c r="P35" s="201">
        <v>212113</v>
      </c>
      <c r="Q35" s="201">
        <v>207238</v>
      </c>
      <c r="R35" s="201">
        <v>78838</v>
      </c>
      <c r="S35" s="201">
        <v>76913</v>
      </c>
      <c r="T35" s="201">
        <v>74988</v>
      </c>
      <c r="U35" s="201">
        <v>73063</v>
      </c>
      <c r="V35" s="201">
        <v>71050</v>
      </c>
      <c r="W35" s="201">
        <v>0</v>
      </c>
      <c r="X35" s="169">
        <v>0</v>
      </c>
      <c r="Y35" s="169">
        <v>0</v>
      </c>
      <c r="Z35" s="169">
        <v>0</v>
      </c>
      <c r="AA35" s="169">
        <v>0</v>
      </c>
    </row>
    <row r="36" spans="1:27" ht="15.75" thickBot="1" x14ac:dyDescent="0.3">
      <c r="A36" s="22"/>
      <c r="B36" s="50" t="s">
        <v>78</v>
      </c>
      <c r="C36" s="202">
        <v>73827</v>
      </c>
      <c r="D36" s="202">
        <v>72140</v>
      </c>
      <c r="E36" s="202">
        <v>71390</v>
      </c>
      <c r="F36" s="202">
        <v>70415</v>
      </c>
      <c r="G36" s="202">
        <v>69290</v>
      </c>
      <c r="H36" s="202">
        <v>63140</v>
      </c>
      <c r="I36" s="202">
        <v>61985</v>
      </c>
      <c r="J36" s="202">
        <v>60761</v>
      </c>
      <c r="K36" s="202">
        <v>59524</v>
      </c>
      <c r="L36" s="202">
        <v>58273</v>
      </c>
      <c r="M36" s="202">
        <v>12520</v>
      </c>
      <c r="N36" s="202">
        <v>12275</v>
      </c>
      <c r="O36" s="202">
        <v>12025</v>
      </c>
      <c r="P36" s="202">
        <v>11775</v>
      </c>
      <c r="Q36" s="202">
        <v>11525</v>
      </c>
      <c r="R36" s="202">
        <v>11263</v>
      </c>
      <c r="S36" s="202">
        <v>10988</v>
      </c>
      <c r="T36" s="202">
        <v>10713</v>
      </c>
      <c r="U36" s="169">
        <v>10438</v>
      </c>
      <c r="V36" s="169">
        <v>10150</v>
      </c>
      <c r="W36" s="169">
        <v>0</v>
      </c>
      <c r="X36" s="169">
        <v>0</v>
      </c>
      <c r="Y36" s="169">
        <v>0</v>
      </c>
      <c r="Z36" s="169">
        <v>0</v>
      </c>
      <c r="AA36" s="169">
        <v>0</v>
      </c>
    </row>
    <row r="37" spans="1:27" x14ac:dyDescent="0.25">
      <c r="A37" s="192" t="s">
        <v>80</v>
      </c>
      <c r="B37" s="193"/>
      <c r="C37" s="194">
        <f t="shared" ref="C37:Y37" si="0">C9+C12+C15+C17+C20+C23+C26+C35</f>
        <v>2154872.73</v>
      </c>
      <c r="D37" s="194">
        <f t="shared" si="0"/>
        <v>2071535.85</v>
      </c>
      <c r="E37" s="194">
        <f t="shared" si="0"/>
        <v>1785408.4699999997</v>
      </c>
      <c r="F37" s="194">
        <f t="shared" si="0"/>
        <v>1733487.6999999997</v>
      </c>
      <c r="G37" s="194">
        <f t="shared" si="0"/>
        <v>1626146.67</v>
      </c>
      <c r="H37" s="194">
        <f t="shared" si="0"/>
        <v>1504079.9100000001</v>
      </c>
      <c r="I37" s="194">
        <f t="shared" si="0"/>
        <v>1462394.3900000001</v>
      </c>
      <c r="J37" s="194">
        <f t="shared" si="0"/>
        <v>1404807.35</v>
      </c>
      <c r="K37" s="194">
        <f t="shared" si="0"/>
        <v>1357054.66</v>
      </c>
      <c r="L37" s="194">
        <f t="shared" si="0"/>
        <v>1234593.1800000002</v>
      </c>
      <c r="M37" s="194">
        <f t="shared" si="0"/>
        <v>1127150.93</v>
      </c>
      <c r="N37" s="194">
        <f t="shared" si="0"/>
        <v>752896.57000000007</v>
      </c>
      <c r="O37" s="194">
        <f t="shared" si="0"/>
        <v>327801.45</v>
      </c>
      <c r="P37" s="194">
        <f t="shared" si="0"/>
        <v>257015</v>
      </c>
      <c r="Q37" s="194">
        <f t="shared" si="0"/>
        <v>207238</v>
      </c>
      <c r="R37" s="194">
        <f t="shared" si="0"/>
        <v>78838</v>
      </c>
      <c r="S37" s="194">
        <f t="shared" si="0"/>
        <v>76913</v>
      </c>
      <c r="T37" s="194">
        <f t="shared" si="0"/>
        <v>74988</v>
      </c>
      <c r="U37" s="194">
        <f t="shared" si="0"/>
        <v>73063</v>
      </c>
      <c r="V37" s="194">
        <f t="shared" si="0"/>
        <v>71050</v>
      </c>
      <c r="W37" s="194">
        <f t="shared" si="0"/>
        <v>0</v>
      </c>
      <c r="X37" s="194">
        <f t="shared" si="0"/>
        <v>0</v>
      </c>
      <c r="Y37" s="194">
        <f t="shared" si="0"/>
        <v>0</v>
      </c>
      <c r="Z37" s="194">
        <f t="shared" ref="Z37:AA37" si="1">Z9+Z12+Z15+Z17+Z20+Z23+Z26+Z35</f>
        <v>0</v>
      </c>
      <c r="AA37" s="194">
        <f t="shared" si="1"/>
        <v>0</v>
      </c>
    </row>
    <row r="38" spans="1:27" ht="15.75" thickBot="1" x14ac:dyDescent="0.3">
      <c r="A38" s="191"/>
      <c r="B38" s="188" t="s">
        <v>176</v>
      </c>
      <c r="C38" s="189" t="s">
        <v>179</v>
      </c>
      <c r="D38" s="190">
        <f>D37-C37</f>
        <v>-83336.879999999888</v>
      </c>
      <c r="E38" s="190">
        <f t="shared" ref="E38" si="2">E37-D37</f>
        <v>-286127.38000000035</v>
      </c>
      <c r="F38" s="190">
        <f t="shared" ref="F38" si="3">F37-E37</f>
        <v>-51920.770000000019</v>
      </c>
      <c r="G38" s="190">
        <f t="shared" ref="G38" si="4">G37-F37</f>
        <v>-107341.0299999998</v>
      </c>
      <c r="H38" s="190">
        <f t="shared" ref="H38" si="5">H37-G37</f>
        <v>-122066.75999999978</v>
      </c>
      <c r="I38" s="190">
        <f t="shared" ref="I38" si="6">I37-H37</f>
        <v>-41685.520000000019</v>
      </c>
      <c r="J38" s="190">
        <f t="shared" ref="J38" si="7">J37-I37</f>
        <v>-57587.040000000037</v>
      </c>
      <c r="K38" s="190">
        <f t="shared" ref="K38" si="8">K37-J37</f>
        <v>-47752.690000000177</v>
      </c>
      <c r="L38" s="190">
        <f t="shared" ref="L38" si="9">L37-K37</f>
        <v>-122461.47999999975</v>
      </c>
      <c r="M38" s="190">
        <f t="shared" ref="M38" si="10">M37-L37</f>
        <v>-107442.25000000023</v>
      </c>
      <c r="N38" s="190">
        <f t="shared" ref="N38" si="11">N37-M37</f>
        <v>-374254.35999999987</v>
      </c>
      <c r="O38" s="190">
        <f t="shared" ref="O38" si="12">O37-N37</f>
        <v>-425095.12000000005</v>
      </c>
      <c r="P38" s="190">
        <f t="shared" ref="P38" si="13">P37-O37</f>
        <v>-70786.450000000012</v>
      </c>
      <c r="Q38" s="190">
        <f t="shared" ref="Q38" si="14">Q37-P37</f>
        <v>-49777</v>
      </c>
      <c r="R38" s="190">
        <f t="shared" ref="R38" si="15">R37-Q37</f>
        <v>-128400</v>
      </c>
      <c r="S38" s="190">
        <f t="shared" ref="S38" si="16">S37-R37</f>
        <v>-1925</v>
      </c>
      <c r="T38" s="190">
        <f t="shared" ref="T38" si="17">T37-S37</f>
        <v>-1925</v>
      </c>
      <c r="U38" s="190">
        <f t="shared" ref="U38" si="18">U37-T37</f>
        <v>-1925</v>
      </c>
      <c r="V38" s="190">
        <f t="shared" ref="V38" si="19">V37-U37</f>
        <v>-2013</v>
      </c>
      <c r="W38" s="190">
        <f t="shared" ref="W38" si="20">W37-V37</f>
        <v>-71050</v>
      </c>
      <c r="X38" s="190">
        <f t="shared" ref="X38" si="21">X37-W37</f>
        <v>0</v>
      </c>
      <c r="Y38" s="190">
        <f t="shared" ref="Y38" si="22">Y37-X37</f>
        <v>0</v>
      </c>
      <c r="Z38" s="190">
        <f t="shared" ref="Z38" si="23">Z37-Y37</f>
        <v>0</v>
      </c>
      <c r="AA38" s="190">
        <f t="shared" ref="AA38" si="24">AA37-Z37</f>
        <v>0</v>
      </c>
    </row>
    <row r="39" spans="1:27" x14ac:dyDescent="0.25">
      <c r="A39" s="198" t="s">
        <v>81</v>
      </c>
      <c r="B39" s="199"/>
      <c r="C39" s="200">
        <f>C10+C13+C18+C21+C24+C27+C36</f>
        <v>1480601.13</v>
      </c>
      <c r="D39" s="200">
        <f t="shared" ref="D39:Y39" si="25">D10+D13+D18+D21+D24+D27+D36</f>
        <v>1402219.63</v>
      </c>
      <c r="E39" s="200">
        <f t="shared" si="25"/>
        <v>1377180.13</v>
      </c>
      <c r="F39" s="200">
        <f t="shared" si="25"/>
        <v>1328130.6499999999</v>
      </c>
      <c r="G39" s="200">
        <f t="shared" si="25"/>
        <v>1282910.55</v>
      </c>
      <c r="H39" s="200">
        <f t="shared" si="25"/>
        <v>1232919.8</v>
      </c>
      <c r="I39" s="200">
        <f t="shared" si="25"/>
        <v>1193583.44</v>
      </c>
      <c r="J39" s="200">
        <f t="shared" si="25"/>
        <v>1169232.48</v>
      </c>
      <c r="K39" s="200">
        <f t="shared" si="25"/>
        <v>1144670.92</v>
      </c>
      <c r="L39" s="200">
        <f t="shared" si="25"/>
        <v>1033101.53</v>
      </c>
      <c r="M39" s="200">
        <f t="shared" si="25"/>
        <v>967192.66</v>
      </c>
      <c r="N39" s="200">
        <f t="shared" si="25"/>
        <v>927632.3</v>
      </c>
      <c r="O39" s="200">
        <f t="shared" si="25"/>
        <v>907339.75</v>
      </c>
      <c r="P39" s="200">
        <f t="shared" si="25"/>
        <v>64135</v>
      </c>
      <c r="Q39" s="200">
        <f t="shared" si="25"/>
        <v>42500</v>
      </c>
      <c r="R39" s="200">
        <f t="shared" si="25"/>
        <v>11263</v>
      </c>
      <c r="S39" s="200">
        <f t="shared" si="25"/>
        <v>10988</v>
      </c>
      <c r="T39" s="200">
        <f t="shared" si="25"/>
        <v>10713</v>
      </c>
      <c r="U39" s="200">
        <f t="shared" si="25"/>
        <v>10438</v>
      </c>
      <c r="V39" s="200">
        <f t="shared" si="25"/>
        <v>10150</v>
      </c>
      <c r="W39" s="200">
        <f t="shared" si="25"/>
        <v>0</v>
      </c>
      <c r="X39" s="200">
        <f t="shared" si="25"/>
        <v>0</v>
      </c>
      <c r="Y39" s="200">
        <f t="shared" si="25"/>
        <v>0</v>
      </c>
      <c r="Z39" s="200">
        <f t="shared" ref="Z39:AA39" si="26">Z10+Z13+Z18+Z21+Z24+Z27+Z36</f>
        <v>0</v>
      </c>
      <c r="AA39" s="200">
        <f t="shared" si="26"/>
        <v>0</v>
      </c>
    </row>
    <row r="40" spans="1:27" ht="15.75" thickBot="1" x14ac:dyDescent="0.3">
      <c r="A40" s="195"/>
      <c r="B40" s="196" t="s">
        <v>176</v>
      </c>
      <c r="C40" s="197" t="s">
        <v>179</v>
      </c>
      <c r="D40" s="197">
        <f>D39-C39</f>
        <v>-78381.5</v>
      </c>
      <c r="E40" s="197">
        <f t="shared" ref="E40" si="27">E39-D39</f>
        <v>-25039.5</v>
      </c>
      <c r="F40" s="197">
        <f t="shared" ref="F40" si="28">F39-E39</f>
        <v>-49049.479999999981</v>
      </c>
      <c r="G40" s="197">
        <f t="shared" ref="G40" si="29">G39-F39</f>
        <v>-45220.09999999986</v>
      </c>
      <c r="H40" s="197">
        <f t="shared" ref="H40" si="30">H39-G39</f>
        <v>-49990.75</v>
      </c>
      <c r="I40" s="197">
        <f t="shared" ref="I40" si="31">I39-H39</f>
        <v>-39336.360000000102</v>
      </c>
      <c r="J40" s="197">
        <f t="shared" ref="J40" si="32">J39-I39</f>
        <v>-24350.959999999963</v>
      </c>
      <c r="K40" s="197">
        <f t="shared" ref="K40" si="33">K39-J39</f>
        <v>-24561.560000000056</v>
      </c>
      <c r="L40" s="197">
        <f t="shared" ref="L40" si="34">L39-K39</f>
        <v>-111569.3899999999</v>
      </c>
      <c r="M40" s="197">
        <f t="shared" ref="M40" si="35">M39-L39</f>
        <v>-65908.87</v>
      </c>
      <c r="N40" s="197">
        <f t="shared" ref="N40" si="36">N39-M39</f>
        <v>-39560.359999999986</v>
      </c>
      <c r="O40" s="197">
        <f t="shared" ref="O40" si="37">O39-N39</f>
        <v>-20292.550000000047</v>
      </c>
      <c r="P40" s="197">
        <f t="shared" ref="P40" si="38">P39-O39</f>
        <v>-843204.75</v>
      </c>
      <c r="Q40" s="197">
        <f t="shared" ref="Q40" si="39">Q39-P39</f>
        <v>-21635</v>
      </c>
      <c r="R40" s="197">
        <f t="shared" ref="R40" si="40">R39-Q39</f>
        <v>-31237</v>
      </c>
      <c r="S40" s="197">
        <f t="shared" ref="S40" si="41">S39-R39</f>
        <v>-275</v>
      </c>
      <c r="T40" s="197">
        <f t="shared" ref="T40" si="42">T39-S39</f>
        <v>-275</v>
      </c>
      <c r="U40" s="197">
        <f t="shared" ref="U40" si="43">U39-T39</f>
        <v>-275</v>
      </c>
      <c r="V40" s="197">
        <f t="shared" ref="V40" si="44">V39-U39</f>
        <v>-288</v>
      </c>
      <c r="W40" s="197">
        <f t="shared" ref="W40" si="45">W39-V39</f>
        <v>-10150</v>
      </c>
      <c r="X40" s="197">
        <f t="shared" ref="X40" si="46">X39-W39</f>
        <v>0</v>
      </c>
      <c r="Y40" s="197">
        <f t="shared" ref="Y40" si="47">Y39-X39</f>
        <v>0</v>
      </c>
      <c r="Z40" s="197">
        <f t="shared" ref="Z40" si="48">Z39-Y39</f>
        <v>0</v>
      </c>
      <c r="AA40" s="197">
        <f t="shared" ref="AA40" si="49">AA39-Z39</f>
        <v>0</v>
      </c>
    </row>
    <row r="41" spans="1:27" x14ac:dyDescent="0.25">
      <c r="A41" s="177" t="s">
        <v>82</v>
      </c>
      <c r="B41" s="178"/>
      <c r="C41" s="179">
        <f t="shared" ref="C41:Y41" si="50">C37+C39</f>
        <v>3635473.86</v>
      </c>
      <c r="D41" s="179">
        <f t="shared" si="50"/>
        <v>3473755.48</v>
      </c>
      <c r="E41" s="179">
        <f t="shared" si="50"/>
        <v>3162588.5999999996</v>
      </c>
      <c r="F41" s="179">
        <f t="shared" si="50"/>
        <v>3061618.3499999996</v>
      </c>
      <c r="G41" s="179">
        <f t="shared" si="50"/>
        <v>2909057.2199999997</v>
      </c>
      <c r="H41" s="179">
        <f t="shared" si="50"/>
        <v>2736999.71</v>
      </c>
      <c r="I41" s="179">
        <f t="shared" si="50"/>
        <v>2655977.83</v>
      </c>
      <c r="J41" s="179">
        <f t="shared" si="50"/>
        <v>2574039.83</v>
      </c>
      <c r="K41" s="179">
        <f t="shared" si="50"/>
        <v>2501725.58</v>
      </c>
      <c r="L41" s="179">
        <f t="shared" si="50"/>
        <v>2267694.71</v>
      </c>
      <c r="M41" s="179">
        <f t="shared" si="50"/>
        <v>2094343.5899999999</v>
      </c>
      <c r="N41" s="179">
        <f t="shared" si="50"/>
        <v>1680528.87</v>
      </c>
      <c r="O41" s="179">
        <f t="shared" si="50"/>
        <v>1235141.2</v>
      </c>
      <c r="P41" s="179">
        <f t="shared" si="50"/>
        <v>321150</v>
      </c>
      <c r="Q41" s="179">
        <f t="shared" si="50"/>
        <v>249738</v>
      </c>
      <c r="R41" s="179">
        <f t="shared" si="50"/>
        <v>90101</v>
      </c>
      <c r="S41" s="179">
        <f t="shared" si="50"/>
        <v>87901</v>
      </c>
      <c r="T41" s="179">
        <f t="shared" si="50"/>
        <v>85701</v>
      </c>
      <c r="U41" s="179">
        <f t="shared" si="50"/>
        <v>83501</v>
      </c>
      <c r="V41" s="179">
        <f t="shared" si="50"/>
        <v>81200</v>
      </c>
      <c r="W41" s="179">
        <f t="shared" si="50"/>
        <v>0</v>
      </c>
      <c r="X41" s="179">
        <f t="shared" si="50"/>
        <v>0</v>
      </c>
      <c r="Y41" s="179">
        <f t="shared" si="50"/>
        <v>0</v>
      </c>
      <c r="Z41" s="179">
        <f t="shared" ref="Z41:AA41" si="51">Z37+Z39</f>
        <v>0</v>
      </c>
      <c r="AA41" s="179">
        <f t="shared" si="51"/>
        <v>0</v>
      </c>
    </row>
    <row r="42" spans="1:27" s="148" customFormat="1" ht="15.75" thickBot="1" x14ac:dyDescent="0.3">
      <c r="A42" s="180"/>
      <c r="B42" s="180" t="s">
        <v>176</v>
      </c>
      <c r="C42" s="181" t="s">
        <v>179</v>
      </c>
      <c r="D42" s="182">
        <f>D41-C41</f>
        <v>-161718.37999999989</v>
      </c>
      <c r="E42" s="182">
        <f t="shared" ref="E42:Y42" si="52">E41-D41</f>
        <v>-311166.88000000035</v>
      </c>
      <c r="F42" s="182">
        <f t="shared" si="52"/>
        <v>-100970.25</v>
      </c>
      <c r="G42" s="182">
        <f t="shared" si="52"/>
        <v>-152561.12999999989</v>
      </c>
      <c r="H42" s="182">
        <f t="shared" si="52"/>
        <v>-172057.50999999978</v>
      </c>
      <c r="I42" s="182">
        <f t="shared" si="52"/>
        <v>-81021.879999999888</v>
      </c>
      <c r="J42" s="182">
        <f t="shared" si="52"/>
        <v>-81938</v>
      </c>
      <c r="K42" s="182">
        <f t="shared" si="52"/>
        <v>-72314.25</v>
      </c>
      <c r="L42" s="182">
        <f t="shared" si="52"/>
        <v>-234030.87000000011</v>
      </c>
      <c r="M42" s="182">
        <f t="shared" si="52"/>
        <v>-173351.12000000011</v>
      </c>
      <c r="N42" s="182">
        <f t="shared" si="52"/>
        <v>-413814.71999999974</v>
      </c>
      <c r="O42" s="182">
        <f t="shared" si="52"/>
        <v>-445387.67000000016</v>
      </c>
      <c r="P42" s="182">
        <f t="shared" si="52"/>
        <v>-913991.2</v>
      </c>
      <c r="Q42" s="182">
        <f t="shared" si="52"/>
        <v>-71412</v>
      </c>
      <c r="R42" s="182">
        <f t="shared" si="52"/>
        <v>-159637</v>
      </c>
      <c r="S42" s="182">
        <f t="shared" si="52"/>
        <v>-2200</v>
      </c>
      <c r="T42" s="182">
        <f t="shared" si="52"/>
        <v>-2200</v>
      </c>
      <c r="U42" s="182">
        <f t="shared" si="52"/>
        <v>-2200</v>
      </c>
      <c r="V42" s="182">
        <f t="shared" si="52"/>
        <v>-2301</v>
      </c>
      <c r="W42" s="182">
        <f t="shared" si="52"/>
        <v>-81200</v>
      </c>
      <c r="X42" s="182">
        <f t="shared" si="52"/>
        <v>0</v>
      </c>
      <c r="Y42" s="182">
        <f t="shared" si="52"/>
        <v>0</v>
      </c>
      <c r="Z42" s="182">
        <f t="shared" ref="Z42" si="53">Z41-Y41</f>
        <v>0</v>
      </c>
      <c r="AA42" s="182">
        <f t="shared" ref="AA42" si="54">AA41-Z41</f>
        <v>0</v>
      </c>
    </row>
    <row r="43" spans="1:27" ht="15.75" thickBot="1" x14ac:dyDescent="0.3"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</row>
    <row r="44" spans="1:27" ht="15.75" thickBot="1" x14ac:dyDescent="0.3">
      <c r="A44" s="49" t="s">
        <v>84</v>
      </c>
      <c r="B44" s="48"/>
      <c r="C44" s="174" t="s">
        <v>1</v>
      </c>
      <c r="D44" s="174" t="s">
        <v>2</v>
      </c>
      <c r="E44" s="175" t="s">
        <v>3</v>
      </c>
      <c r="F44" s="174" t="s">
        <v>33</v>
      </c>
      <c r="G44" s="174" t="s">
        <v>34</v>
      </c>
      <c r="H44" s="174" t="s">
        <v>35</v>
      </c>
      <c r="I44" s="174" t="s">
        <v>36</v>
      </c>
      <c r="J44" s="174" t="s">
        <v>37</v>
      </c>
      <c r="K44" s="174" t="s">
        <v>38</v>
      </c>
      <c r="L44" s="174" t="s">
        <v>39</v>
      </c>
      <c r="M44" s="174" t="s">
        <v>40</v>
      </c>
      <c r="N44" s="174" t="s">
        <v>41</v>
      </c>
      <c r="O44" s="174" t="s">
        <v>42</v>
      </c>
      <c r="P44" s="174" t="s">
        <v>43</v>
      </c>
      <c r="Q44" s="174" t="s">
        <v>44</v>
      </c>
      <c r="R44" s="174" t="s">
        <v>45</v>
      </c>
      <c r="S44" s="174" t="s">
        <v>46</v>
      </c>
      <c r="T44" s="174" t="s">
        <v>47</v>
      </c>
      <c r="U44" s="174" t="s">
        <v>48</v>
      </c>
      <c r="V44" s="174" t="s">
        <v>49</v>
      </c>
      <c r="W44" s="174" t="s">
        <v>50</v>
      </c>
      <c r="X44" s="174" t="s">
        <v>51</v>
      </c>
      <c r="Y44" s="174" t="s">
        <v>59</v>
      </c>
      <c r="Z44" s="37" t="s">
        <v>91</v>
      </c>
      <c r="AA44" s="37" t="s">
        <v>105</v>
      </c>
    </row>
    <row r="45" spans="1:27" x14ac:dyDescent="0.25">
      <c r="A45" s="22" t="s">
        <v>1</v>
      </c>
      <c r="B45" s="50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9"/>
      <c r="W45" s="169"/>
      <c r="X45" s="169"/>
      <c r="Y45" s="169"/>
      <c r="Z45" s="169"/>
      <c r="AA45" s="169"/>
    </row>
    <row r="46" spans="1:27" x14ac:dyDescent="0.25">
      <c r="A46" s="22"/>
      <c r="B46" s="50" t="s">
        <v>77</v>
      </c>
      <c r="C46" s="169">
        <f>'FY21 Capital Program'!J33</f>
        <v>372000</v>
      </c>
      <c r="D46" s="169">
        <f>'FY21 Capital Program'!K33</f>
        <v>446900</v>
      </c>
      <c r="E46" s="169">
        <f>'FY21 Capital Program'!L33</f>
        <v>438162.5</v>
      </c>
      <c r="F46" s="169">
        <f>'FY21 Capital Program'!M33</f>
        <v>429425</v>
      </c>
      <c r="G46" s="169">
        <f>'FY21 Capital Program'!N33</f>
        <v>405354.16666666669</v>
      </c>
      <c r="H46" s="169">
        <f>'FY21 Capital Program'!O33</f>
        <v>397000</v>
      </c>
      <c r="I46" s="169">
        <f>'FY21 Capital Program'!P33</f>
        <v>275645.83333333337</v>
      </c>
      <c r="J46" s="169">
        <f>'FY21 Capital Program'!Q33</f>
        <v>270116.66666666669</v>
      </c>
      <c r="K46" s="169">
        <f>'FY21 Capital Program'!R33</f>
        <v>264587.5</v>
      </c>
      <c r="L46" s="169">
        <f>'FY21 Capital Program'!S33</f>
        <v>259058.33333333337</v>
      </c>
      <c r="M46" s="169">
        <f>'FY21 Capital Program'!T33</f>
        <v>253529.16666666669</v>
      </c>
      <c r="N46" s="169">
        <f>'FY21 Capital Program'!U33</f>
        <v>215500</v>
      </c>
      <c r="O46" s="169">
        <f>'FY21 Capital Program'!V33</f>
        <v>210783.33333333334</v>
      </c>
      <c r="P46" s="169">
        <f>'FY21 Capital Program'!W33</f>
        <v>206066.66666666669</v>
      </c>
      <c r="Q46" s="169">
        <f>'FY21 Capital Program'!X33</f>
        <v>201350</v>
      </c>
      <c r="R46" s="169">
        <f>'FY21 Capital Program'!Y33</f>
        <v>196633.33333333334</v>
      </c>
      <c r="S46" s="169">
        <f>'FY21 Capital Program'!Z33</f>
        <v>125250</v>
      </c>
      <c r="T46" s="169">
        <f>'FY21 Capital Program'!AA33</f>
        <v>122200</v>
      </c>
      <c r="U46" s="169">
        <f>'FY21 Capital Program'!AB33</f>
        <v>119150</v>
      </c>
      <c r="V46" s="169">
        <f>'FY21 Capital Program'!AC33</f>
        <v>116100</v>
      </c>
      <c r="W46" s="169">
        <f>'FY21 Capital Program'!AD33</f>
        <v>113050</v>
      </c>
      <c r="X46" s="169">
        <f>'FY21 Capital Program'!AE33</f>
        <v>0</v>
      </c>
      <c r="Y46" s="169">
        <f>'FY21 Capital Program'!AF33</f>
        <v>0</v>
      </c>
      <c r="Z46" s="169">
        <f>'FY21 Capital Program'!AG33</f>
        <v>0</v>
      </c>
      <c r="AA46" s="169">
        <f>'FY21 Capital Program'!AH33</f>
        <v>0</v>
      </c>
    </row>
    <row r="47" spans="1:27" x14ac:dyDescent="0.25">
      <c r="A47" s="22"/>
      <c r="B47" s="50" t="s">
        <v>78</v>
      </c>
      <c r="C47" s="169">
        <f>'FY21 Capital Program'!J34</f>
        <v>95000</v>
      </c>
      <c r="D47" s="169">
        <f>'FY21 Capital Program'!K34</f>
        <v>60125</v>
      </c>
      <c r="E47" s="169">
        <f>'FY21 Capital Program'!L34</f>
        <v>58900</v>
      </c>
      <c r="F47" s="169">
        <f>'FY21 Capital Program'!M34</f>
        <v>57675</v>
      </c>
      <c r="G47" s="169">
        <f>'FY21 Capital Program'!N34</f>
        <v>56450</v>
      </c>
      <c r="H47" s="169">
        <f>'FY21 Capital Program'!O34</f>
        <v>55225</v>
      </c>
      <c r="I47" s="169">
        <f>'FY21 Capital Program'!P34</f>
        <v>45000</v>
      </c>
      <c r="J47" s="169">
        <f>'FY21 Capital Program'!Q34</f>
        <v>44000</v>
      </c>
      <c r="K47" s="169">
        <f>'FY21 Capital Program'!R34</f>
        <v>43000</v>
      </c>
      <c r="L47" s="169">
        <f>'FY21 Capital Program'!S34</f>
        <v>42000</v>
      </c>
      <c r="M47" s="169">
        <f>'FY21 Capital Program'!T34</f>
        <v>41000</v>
      </c>
      <c r="N47" s="169">
        <f>'FY21 Capital Program'!U34</f>
        <v>0</v>
      </c>
      <c r="O47" s="169">
        <f>'FY21 Capital Program'!V34</f>
        <v>0</v>
      </c>
      <c r="P47" s="169">
        <f>'FY21 Capital Program'!W34</f>
        <v>0</v>
      </c>
      <c r="Q47" s="169">
        <f>'FY21 Capital Program'!X34</f>
        <v>0</v>
      </c>
      <c r="R47" s="169">
        <f>'FY21 Capital Program'!Y34</f>
        <v>0</v>
      </c>
      <c r="S47" s="169">
        <f>'FY21 Capital Program'!Z34</f>
        <v>0</v>
      </c>
      <c r="T47" s="169">
        <f>'FY21 Capital Program'!AA34</f>
        <v>0</v>
      </c>
      <c r="U47" s="169">
        <f>'FY21 Capital Program'!AB34</f>
        <v>0</v>
      </c>
      <c r="V47" s="169">
        <f>'FY21 Capital Program'!AC34</f>
        <v>0</v>
      </c>
      <c r="W47" s="169">
        <f>'FY21 Capital Program'!AD34</f>
        <v>0</v>
      </c>
      <c r="X47" s="169">
        <f>'FY21 Capital Program'!AE34</f>
        <v>0</v>
      </c>
      <c r="Y47" s="169">
        <f>'FY21 Capital Program'!AF34</f>
        <v>0</v>
      </c>
      <c r="Z47" s="169">
        <f>'FY21 Capital Program'!AG34</f>
        <v>0</v>
      </c>
      <c r="AA47" s="169">
        <f>'FY21 Capital Program'!AH34</f>
        <v>0</v>
      </c>
    </row>
    <row r="48" spans="1:27" x14ac:dyDescent="0.25">
      <c r="A48" s="22" t="s">
        <v>2</v>
      </c>
      <c r="B48" s="50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</row>
    <row r="49" spans="1:27" x14ac:dyDescent="0.25">
      <c r="A49" s="22"/>
      <c r="B49" s="50" t="s">
        <v>77</v>
      </c>
      <c r="C49" s="169">
        <v>0</v>
      </c>
      <c r="D49" s="169">
        <f>'FY22 Capital Program'!J26</f>
        <v>185000</v>
      </c>
      <c r="E49" s="169">
        <f>'FY22 Capital Program'!K26</f>
        <v>642008.33333333326</v>
      </c>
      <c r="F49" s="169">
        <f>'FY22 Capital Program'!L26</f>
        <v>631297.5</v>
      </c>
      <c r="G49" s="169">
        <f>'FY22 Capital Program'!M26</f>
        <v>620586.66666666674</v>
      </c>
      <c r="H49" s="169">
        <f>'FY22 Capital Program'!N26</f>
        <v>609875.83333333326</v>
      </c>
      <c r="I49" s="169">
        <f>'FY22 Capital Program'!O26</f>
        <v>599165</v>
      </c>
      <c r="J49" s="169">
        <f>'FY22 Capital Program'!P26</f>
        <v>506854.16666666674</v>
      </c>
      <c r="K49" s="169">
        <f>'FY22 Capital Program'!Q26</f>
        <v>498183.33333333331</v>
      </c>
      <c r="L49" s="169">
        <f>'FY22 Capital Program'!R26</f>
        <v>489512.5</v>
      </c>
      <c r="M49" s="169">
        <f>'FY22 Capital Program'!S26</f>
        <v>480841.66666666674</v>
      </c>
      <c r="N49" s="169">
        <f>'FY22 Capital Program'!T26</f>
        <v>472170.83333333331</v>
      </c>
      <c r="O49" s="169">
        <f>'FY22 Capital Program'!U26</f>
        <v>400000</v>
      </c>
      <c r="P49" s="169">
        <f>'FY22 Capital Program'!V26</f>
        <v>392916.66666666663</v>
      </c>
      <c r="Q49" s="169">
        <f>'FY22 Capital Program'!W26</f>
        <v>385833.33333333331</v>
      </c>
      <c r="R49" s="169">
        <f>'FY22 Capital Program'!X26</f>
        <v>378750</v>
      </c>
      <c r="S49" s="169">
        <f>'FY22 Capital Program'!Y26</f>
        <v>371666.66666666663</v>
      </c>
      <c r="T49" s="169">
        <f>'FY22 Capital Program'!Z26</f>
        <v>297916.66666666663</v>
      </c>
      <c r="U49" s="169">
        <f>'FY22 Capital Program'!AA26</f>
        <v>292500</v>
      </c>
      <c r="V49" s="169">
        <f>'FY22 Capital Program'!AB26</f>
        <v>287083.33333333331</v>
      </c>
      <c r="W49" s="169">
        <f>'FY22 Capital Program'!AC26</f>
        <v>281666.66666666663</v>
      </c>
      <c r="X49" s="169">
        <f>'FY22 Capital Program'!AD26</f>
        <v>276250</v>
      </c>
      <c r="Y49" s="169">
        <f>'FY22 Capital Program'!AE26</f>
        <v>270833.33333333331</v>
      </c>
      <c r="Z49" s="169">
        <f>'FY22 Capital Program'!AF26</f>
        <v>0</v>
      </c>
      <c r="AA49" s="169">
        <f>'FY22 Capital Program'!AG26</f>
        <v>0</v>
      </c>
    </row>
    <row r="50" spans="1:27" x14ac:dyDescent="0.25">
      <c r="A50" s="22"/>
      <c r="B50" s="50" t="s">
        <v>78</v>
      </c>
      <c r="C50" s="169">
        <v>0</v>
      </c>
      <c r="D50" s="169">
        <f>'FY22 Capital Program'!J27</f>
        <v>69000</v>
      </c>
      <c r="E50" s="169">
        <f>'FY22 Capital Program'!K27</f>
        <v>29325</v>
      </c>
      <c r="F50" s="169">
        <f>'FY22 Capital Program'!L27</f>
        <v>28777.5</v>
      </c>
      <c r="G50" s="169">
        <f>'FY22 Capital Program'!M27</f>
        <v>28230</v>
      </c>
      <c r="H50" s="169">
        <f>'FY22 Capital Program'!N27</f>
        <v>27682.5</v>
      </c>
      <c r="I50" s="169">
        <f>'FY22 Capital Program'!O27</f>
        <v>27135</v>
      </c>
      <c r="J50" s="169">
        <f>'FY22 Capital Program'!P27</f>
        <v>17187.5</v>
      </c>
      <c r="K50" s="169">
        <f>'FY22 Capital Program'!Q27</f>
        <v>16875</v>
      </c>
      <c r="L50" s="169">
        <f>'FY22 Capital Program'!R27</f>
        <v>16562.5</v>
      </c>
      <c r="M50" s="169">
        <f>'FY22 Capital Program'!S27</f>
        <v>16250</v>
      </c>
      <c r="N50" s="169">
        <f>'FY22 Capital Program'!T27</f>
        <v>15937.5</v>
      </c>
      <c r="O50" s="169">
        <f>'FY22 Capital Program'!U27</f>
        <v>15625</v>
      </c>
      <c r="P50" s="169">
        <f>'FY22 Capital Program'!V27</f>
        <v>15312.5</v>
      </c>
      <c r="Q50" s="169">
        <f>'FY22 Capital Program'!W27</f>
        <v>15000</v>
      </c>
      <c r="R50" s="169">
        <f>'FY22 Capital Program'!X27</f>
        <v>14687.5</v>
      </c>
      <c r="S50" s="169">
        <f>'FY22 Capital Program'!Y27</f>
        <v>14375</v>
      </c>
      <c r="T50" s="169">
        <f>'FY22 Capital Program'!Z27</f>
        <v>14062.5</v>
      </c>
      <c r="U50" s="169">
        <f>'FY22 Capital Program'!AA27</f>
        <v>13750</v>
      </c>
      <c r="V50" s="169">
        <f>'FY22 Capital Program'!AB27</f>
        <v>13437.5</v>
      </c>
      <c r="W50" s="169">
        <f>'FY22 Capital Program'!AC27</f>
        <v>13125</v>
      </c>
      <c r="X50" s="169">
        <f>'FY22 Capital Program'!AD27</f>
        <v>12812.5</v>
      </c>
      <c r="Y50" s="169">
        <f>'FY22 Capital Program'!AE27</f>
        <v>0</v>
      </c>
      <c r="Z50" s="169">
        <f>'FY22 Capital Program'!AF27</f>
        <v>0</v>
      </c>
      <c r="AA50" s="169">
        <f>'FY22 Capital Program'!AG27</f>
        <v>0</v>
      </c>
    </row>
    <row r="51" spans="1:27" x14ac:dyDescent="0.25">
      <c r="A51" s="22" t="s">
        <v>3</v>
      </c>
      <c r="B51" s="50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</row>
    <row r="52" spans="1:27" x14ac:dyDescent="0.25">
      <c r="A52" s="22"/>
      <c r="B52" s="50" t="s">
        <v>77</v>
      </c>
      <c r="C52" s="169">
        <v>0</v>
      </c>
      <c r="D52" s="169">
        <v>0</v>
      </c>
      <c r="E52" s="169">
        <f>'FY23 Capital Program'!J25</f>
        <v>200000</v>
      </c>
      <c r="F52" s="169">
        <f>'FY23 Capital Program'!K25</f>
        <v>341766.66666666669</v>
      </c>
      <c r="G52" s="169">
        <f>'FY23 Capital Program'!L25</f>
        <v>335345</v>
      </c>
      <c r="H52" s="169">
        <f>'FY23 Capital Program'!M25</f>
        <v>328923.33333333337</v>
      </c>
      <c r="I52" s="169">
        <f>'FY23 Capital Program'!N25</f>
        <v>322501.66666666669</v>
      </c>
      <c r="J52" s="169">
        <f>'FY23 Capital Program'!O25</f>
        <v>316080</v>
      </c>
      <c r="K52" s="169">
        <f>'FY23 Capital Program'!P25</f>
        <v>298458.33333333337</v>
      </c>
      <c r="L52" s="169">
        <f>'FY23 Capital Program'!Q25</f>
        <v>292316.66666666669</v>
      </c>
      <c r="M52" s="169">
        <f>'FY23 Capital Program'!R25</f>
        <v>286175</v>
      </c>
      <c r="N52" s="169">
        <f>'FY23 Capital Program'!S25</f>
        <v>280033.33333333337</v>
      </c>
      <c r="O52" s="169">
        <f>'FY23 Capital Program'!T25</f>
        <v>273891.66666666669</v>
      </c>
      <c r="P52" s="169">
        <f>'FY23 Capital Program'!U25</f>
        <v>168750</v>
      </c>
      <c r="Q52" s="169">
        <f>'FY23 Capital Program'!V25</f>
        <v>165208.33333333334</v>
      </c>
      <c r="R52" s="169">
        <f>'FY23 Capital Program'!W25</f>
        <v>161666.66666666669</v>
      </c>
      <c r="S52" s="169">
        <f>'FY23 Capital Program'!X25</f>
        <v>158125</v>
      </c>
      <c r="T52" s="169">
        <f>'FY23 Capital Program'!Y25</f>
        <v>154583.33333333334</v>
      </c>
      <c r="U52" s="169">
        <f>'FY23 Capital Program'!Z25</f>
        <v>84375</v>
      </c>
      <c r="V52" s="169">
        <f>'FY23 Capital Program'!AA25</f>
        <v>82500</v>
      </c>
      <c r="W52" s="169">
        <f>'FY23 Capital Program'!AB25</f>
        <v>80625</v>
      </c>
      <c r="X52" s="169">
        <f>'FY23 Capital Program'!AC25</f>
        <v>78750</v>
      </c>
      <c r="Y52" s="169">
        <f>'FY23 Capital Program'!AD25</f>
        <v>76875</v>
      </c>
      <c r="Z52" s="169">
        <f>'FY23 Capital Program'!AE25</f>
        <v>0</v>
      </c>
      <c r="AA52" s="169">
        <f>'FY23 Capital Program'!AF25</f>
        <v>0</v>
      </c>
    </row>
    <row r="53" spans="1:27" x14ac:dyDescent="0.25">
      <c r="A53" s="22"/>
      <c r="B53" s="50" t="s">
        <v>78</v>
      </c>
      <c r="C53" s="169">
        <v>0</v>
      </c>
      <c r="D53" s="169">
        <v>0</v>
      </c>
      <c r="E53" s="169">
        <f>'FY23 Capital Program'!J26</f>
        <v>90000</v>
      </c>
      <c r="F53" s="169">
        <f>'FY23 Capital Program'!K26</f>
        <v>37500</v>
      </c>
      <c r="G53" s="169">
        <f>'FY23 Capital Program'!L26</f>
        <v>36750</v>
      </c>
      <c r="H53" s="169">
        <f>'FY23 Capital Program'!M26</f>
        <v>36000</v>
      </c>
      <c r="I53" s="169">
        <f>'FY23 Capital Program'!N26</f>
        <v>35250</v>
      </c>
      <c r="J53" s="169">
        <f>'FY23 Capital Program'!O26</f>
        <v>34500</v>
      </c>
      <c r="K53" s="169">
        <f>'FY23 Capital Program'!P26</f>
        <v>33750</v>
      </c>
      <c r="L53" s="169">
        <f>'FY23 Capital Program'!Q26</f>
        <v>33000</v>
      </c>
      <c r="M53" s="169">
        <f>'FY23 Capital Program'!R26</f>
        <v>32250</v>
      </c>
      <c r="N53" s="169">
        <f>'FY23 Capital Program'!S26</f>
        <v>31500</v>
      </c>
      <c r="O53" s="169">
        <f>'FY23 Capital Program'!T26</f>
        <v>30750</v>
      </c>
      <c r="P53" s="169">
        <f>'FY23 Capital Program'!U26</f>
        <v>0</v>
      </c>
      <c r="Q53" s="169">
        <f>'FY23 Capital Program'!V26</f>
        <v>0</v>
      </c>
      <c r="R53" s="169">
        <f>'FY23 Capital Program'!W26</f>
        <v>0</v>
      </c>
      <c r="S53" s="169">
        <f>'FY23 Capital Program'!X26</f>
        <v>0</v>
      </c>
      <c r="T53" s="169">
        <f>'FY23 Capital Program'!Y26</f>
        <v>0</v>
      </c>
      <c r="U53" s="169">
        <f>'FY23 Capital Program'!Z26</f>
        <v>0</v>
      </c>
      <c r="V53" s="169">
        <f>'FY23 Capital Program'!AA26</f>
        <v>0</v>
      </c>
      <c r="W53" s="169">
        <f>'FY23 Capital Program'!AB26</f>
        <v>0</v>
      </c>
      <c r="X53" s="169">
        <f>'FY23 Capital Program'!AC26</f>
        <v>0</v>
      </c>
      <c r="Y53" s="169">
        <f>'FY23 Capital Program'!AD26</f>
        <v>0</v>
      </c>
      <c r="Z53" s="169">
        <f>'FY23 Capital Program'!AE26</f>
        <v>0</v>
      </c>
      <c r="AA53" s="169">
        <f>'FY23 Capital Program'!AF26</f>
        <v>0</v>
      </c>
    </row>
    <row r="54" spans="1:27" x14ac:dyDescent="0.25">
      <c r="A54" s="22" t="s">
        <v>33</v>
      </c>
      <c r="B54" s="50"/>
      <c r="C54" s="169"/>
      <c r="D54" s="169"/>
      <c r="E54" s="169"/>
      <c r="F54" s="169"/>
      <c r="G54" s="169"/>
      <c r="H54" s="169"/>
      <c r="I54" s="169"/>
      <c r="J54" s="169"/>
      <c r="K54" s="169"/>
      <c r="L54" s="169"/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20"/>
      <c r="AA54" s="120"/>
    </row>
    <row r="55" spans="1:27" s="22" customFormat="1" x14ac:dyDescent="0.25">
      <c r="B55" s="50" t="s">
        <v>77</v>
      </c>
      <c r="C55" s="169">
        <v>0</v>
      </c>
      <c r="D55" s="169">
        <v>0</v>
      </c>
      <c r="E55" s="169">
        <v>0</v>
      </c>
      <c r="F55" s="169">
        <f>'FY 24 Capital Program'!J22</f>
        <v>368000</v>
      </c>
      <c r="G55" s="169">
        <f>'FY 24 Capital Program'!K22</f>
        <v>289166.66666666669</v>
      </c>
      <c r="H55" s="169">
        <f>'FY 24 Capital Program'!L22</f>
        <v>283750</v>
      </c>
      <c r="I55" s="169">
        <f>'FY 24 Capital Program'!M22</f>
        <v>278333.33333333337</v>
      </c>
      <c r="J55" s="169">
        <f>'FY 24 Capital Program'!N22</f>
        <v>272916.66666666669</v>
      </c>
      <c r="K55" s="169">
        <f>'FY 24 Capital Program'!O22</f>
        <v>267500</v>
      </c>
      <c r="L55" s="169">
        <f>'FY 24 Capital Program'!P22</f>
        <v>262083.33333333334</v>
      </c>
      <c r="M55" s="169">
        <f>'FY 24 Capital Program'!Q22</f>
        <v>256666.66666666669</v>
      </c>
      <c r="N55" s="169">
        <f>'FY 24 Capital Program'!R22</f>
        <v>251250</v>
      </c>
      <c r="O55" s="169">
        <f>'FY 24 Capital Program'!S22</f>
        <v>245833.33333333334</v>
      </c>
      <c r="P55" s="169">
        <f>'FY 24 Capital Program'!T22</f>
        <v>240416.66666666669</v>
      </c>
      <c r="Q55" s="169">
        <f>'FY 24 Capital Program'!U22</f>
        <v>205000</v>
      </c>
      <c r="R55" s="169">
        <f>'FY 24 Capital Program'!V22</f>
        <v>200333.33333333334</v>
      </c>
      <c r="S55" s="169">
        <f>'FY 24 Capital Program'!W22</f>
        <v>195666.66666666669</v>
      </c>
      <c r="T55" s="169">
        <f>'FY 24 Capital Program'!X22</f>
        <v>191000</v>
      </c>
      <c r="U55" s="169">
        <f>'FY 24 Capital Program'!Y22</f>
        <v>186333.33333333334</v>
      </c>
      <c r="V55" s="169">
        <f>'FY 24 Capital Program'!Z22</f>
        <v>115000</v>
      </c>
      <c r="W55" s="169">
        <f>'FY 24 Capital Program'!AA22</f>
        <v>112000</v>
      </c>
      <c r="X55" s="169">
        <f>'FY 24 Capital Program'!AB22</f>
        <v>109000</v>
      </c>
      <c r="Y55" s="169">
        <f>'FY 24 Capital Program'!AC22</f>
        <v>106000</v>
      </c>
      <c r="Z55" s="169">
        <f>'FY 24 Capital Program'!AD22</f>
        <v>103000</v>
      </c>
      <c r="AA55" s="169">
        <f>'FY 24 Capital Program'!AE22</f>
        <v>0</v>
      </c>
    </row>
    <row r="56" spans="1:27" x14ac:dyDescent="0.25">
      <c r="A56" s="22"/>
      <c r="B56" s="50" t="s">
        <v>78</v>
      </c>
      <c r="C56" s="169">
        <v>0</v>
      </c>
      <c r="D56" s="169">
        <v>0</v>
      </c>
      <c r="E56" s="169">
        <v>0</v>
      </c>
      <c r="F56" s="169">
        <f>'FY 24 Capital Program'!J23</f>
        <v>48000</v>
      </c>
      <c r="G56" s="169">
        <f>'FY 24 Capital Program'!K23</f>
        <v>0</v>
      </c>
      <c r="H56" s="169">
        <f>'FY 24 Capital Program'!L23</f>
        <v>0</v>
      </c>
      <c r="I56" s="169">
        <f>'FY 24 Capital Program'!M23</f>
        <v>0</v>
      </c>
      <c r="J56" s="169">
        <f>'FY 24 Capital Program'!N23</f>
        <v>0</v>
      </c>
      <c r="K56" s="169">
        <f>'FY 24 Capital Program'!O23</f>
        <v>0</v>
      </c>
      <c r="L56" s="169">
        <f>'FY 24 Capital Program'!P23</f>
        <v>0</v>
      </c>
      <c r="M56" s="169">
        <f>'FY 24 Capital Program'!Q23</f>
        <v>0</v>
      </c>
      <c r="N56" s="169">
        <f>'FY 24 Capital Program'!R23</f>
        <v>0</v>
      </c>
      <c r="O56" s="169">
        <f>'FY 24 Capital Program'!S23</f>
        <v>0</v>
      </c>
      <c r="P56" s="169">
        <f>'FY 24 Capital Program'!T23</f>
        <v>0</v>
      </c>
      <c r="Q56" s="169">
        <f>'FY 24 Capital Program'!U23</f>
        <v>0</v>
      </c>
      <c r="R56" s="169">
        <f>'FY 24 Capital Program'!V23</f>
        <v>0</v>
      </c>
      <c r="S56" s="169">
        <f>'FY 24 Capital Program'!W23</f>
        <v>0</v>
      </c>
      <c r="T56" s="169">
        <f>'FY 24 Capital Program'!X23</f>
        <v>0</v>
      </c>
      <c r="U56" s="169">
        <f>'FY 24 Capital Program'!Y23</f>
        <v>0</v>
      </c>
      <c r="V56" s="169">
        <f>'FY 24 Capital Program'!Z23</f>
        <v>0</v>
      </c>
      <c r="W56" s="169">
        <f>'FY 24 Capital Program'!AA23</f>
        <v>0</v>
      </c>
      <c r="X56" s="169">
        <f>'FY 24 Capital Program'!AB23</f>
        <v>0</v>
      </c>
      <c r="Y56" s="169">
        <f>'FY 24 Capital Program'!AC23</f>
        <v>0</v>
      </c>
      <c r="Z56" s="169">
        <f>'FY 24 Capital Program'!AD23</f>
        <v>0</v>
      </c>
      <c r="AA56" s="120"/>
    </row>
    <row r="57" spans="1:27" x14ac:dyDescent="0.25">
      <c r="A57" s="22" t="s">
        <v>34</v>
      </c>
      <c r="B57" s="50"/>
      <c r="C57" s="169"/>
      <c r="D57" s="169"/>
      <c r="E57" s="169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</row>
    <row r="58" spans="1:27" x14ac:dyDescent="0.25">
      <c r="A58" s="22"/>
      <c r="B58" s="50" t="s">
        <v>77</v>
      </c>
      <c r="C58" s="169">
        <v>0</v>
      </c>
      <c r="D58" s="169">
        <v>0</v>
      </c>
      <c r="E58" s="169">
        <v>0</v>
      </c>
      <c r="F58" s="169">
        <v>0</v>
      </c>
      <c r="G58" s="120">
        <f>'FY 25 Capital Program'!J27</f>
        <v>466000</v>
      </c>
      <c r="H58" s="120">
        <f>'FY 25 Capital Program'!K27</f>
        <v>413541.66666666669</v>
      </c>
      <c r="I58" s="120">
        <f>'FY 25 Capital Program'!L27</f>
        <v>405812.5</v>
      </c>
      <c r="J58" s="120">
        <f>'FY 25 Capital Program'!M27</f>
        <v>398083.33333333337</v>
      </c>
      <c r="K58" s="120">
        <f>'FY 25 Capital Program'!N27</f>
        <v>390354.16666666669</v>
      </c>
      <c r="L58" s="120">
        <f>'FY 25 Capital Program'!O27</f>
        <v>382625</v>
      </c>
      <c r="M58" s="120">
        <f>'FY 25 Capital Program'!P27</f>
        <v>354895.83333333337</v>
      </c>
      <c r="N58" s="120">
        <f>'FY 25 Capital Program'!Q27</f>
        <v>347666.66666666669</v>
      </c>
      <c r="O58" s="120">
        <f>'FY 25 Capital Program'!R27</f>
        <v>340437.5</v>
      </c>
      <c r="P58" s="120">
        <f>'FY 25 Capital Program'!S27</f>
        <v>333208.33333333337</v>
      </c>
      <c r="Q58" s="120">
        <f>'FY 25 Capital Program'!T27</f>
        <v>325979.16666666669</v>
      </c>
      <c r="R58" s="120">
        <f>'FY 25 Capital Program'!U27</f>
        <v>221250</v>
      </c>
      <c r="S58" s="120">
        <f>'FY 25 Capital Program'!V27</f>
        <v>216458.33333333334</v>
      </c>
      <c r="T58" s="120">
        <f>'FY 25 Capital Program'!W27</f>
        <v>211666.66666666669</v>
      </c>
      <c r="U58" s="120">
        <f>'FY 25 Capital Program'!X27</f>
        <v>206875</v>
      </c>
      <c r="V58" s="120">
        <f>'FY 25 Capital Program'!Y27</f>
        <v>202083.33333333334</v>
      </c>
      <c r="W58" s="120">
        <f>'FY 25 Capital Program'!Z27</f>
        <v>50625</v>
      </c>
      <c r="X58" s="120">
        <f>'FY 25 Capital Program'!AA27</f>
        <v>49500</v>
      </c>
      <c r="Y58" s="120">
        <f>'FY 25 Capital Program'!AB27</f>
        <v>48375</v>
      </c>
      <c r="Z58" s="120">
        <f>'FY 25 Capital Program'!AC27</f>
        <v>47250</v>
      </c>
      <c r="AA58" s="120">
        <f>'FY 25 Capital Program'!AD27</f>
        <v>46125</v>
      </c>
    </row>
    <row r="59" spans="1:27" ht="15.75" thickBot="1" x14ac:dyDescent="0.3">
      <c r="A59" s="22"/>
      <c r="B59" s="50" t="s">
        <v>78</v>
      </c>
      <c r="C59" s="169">
        <v>0</v>
      </c>
      <c r="D59" s="169">
        <v>0</v>
      </c>
      <c r="E59" s="169">
        <v>0</v>
      </c>
      <c r="F59" s="169">
        <v>0</v>
      </c>
      <c r="G59" s="120">
        <f>'FY 25 Capital Program'!J28</f>
        <v>0</v>
      </c>
      <c r="H59" s="120">
        <f>'FY 25 Capital Program'!K28</f>
        <v>31250</v>
      </c>
      <c r="I59" s="120">
        <f>'FY 25 Capital Program'!L28</f>
        <v>30625</v>
      </c>
      <c r="J59" s="120">
        <f>'FY 25 Capital Program'!M28</f>
        <v>30000</v>
      </c>
      <c r="K59" s="120">
        <f>'FY 25 Capital Program'!N28</f>
        <v>29375</v>
      </c>
      <c r="L59" s="120">
        <f>'FY 25 Capital Program'!O28</f>
        <v>28750</v>
      </c>
      <c r="M59" s="120">
        <f>'FY 25 Capital Program'!P28</f>
        <v>28125</v>
      </c>
      <c r="N59" s="120">
        <f>'FY 25 Capital Program'!Q28</f>
        <v>27500</v>
      </c>
      <c r="O59" s="120">
        <f>'FY 25 Capital Program'!R28</f>
        <v>26875</v>
      </c>
      <c r="P59" s="120">
        <f>'FY 25 Capital Program'!S28</f>
        <v>26250</v>
      </c>
      <c r="Q59" s="120">
        <f>'FY 25 Capital Program'!T28</f>
        <v>25625</v>
      </c>
      <c r="R59" s="120">
        <f>'FY 25 Capital Program'!U28</f>
        <v>0</v>
      </c>
      <c r="S59" s="120">
        <f>'FY 25 Capital Program'!V28</f>
        <v>0</v>
      </c>
      <c r="T59" s="120">
        <f>'FY 25 Capital Program'!W28</f>
        <v>0</v>
      </c>
      <c r="U59" s="120">
        <f>'FY 25 Capital Program'!X28</f>
        <v>0</v>
      </c>
      <c r="V59" s="120">
        <f>'FY 25 Capital Program'!Y28</f>
        <v>0</v>
      </c>
      <c r="W59" s="120">
        <f>'FY 25 Capital Program'!Z28</f>
        <v>0</v>
      </c>
      <c r="X59" s="120">
        <f>'FY 25 Capital Program'!AA28</f>
        <v>0</v>
      </c>
      <c r="Y59" s="120">
        <f>'FY 25 Capital Program'!AB28</f>
        <v>0</v>
      </c>
      <c r="Z59" s="120">
        <f>'FY 25 Capital Program'!AC28</f>
        <v>0</v>
      </c>
      <c r="AA59" s="120">
        <f>'FY 25 Capital Program'!AD28</f>
        <v>0</v>
      </c>
    </row>
    <row r="60" spans="1:27" ht="15.75" thickBot="1" x14ac:dyDescent="0.3">
      <c r="A60" s="51" t="s">
        <v>80</v>
      </c>
      <c r="B60" s="46"/>
      <c r="C60" s="172">
        <f t="shared" ref="C60:AA60" si="55">C46+C49+C52+C55+C58</f>
        <v>372000</v>
      </c>
      <c r="D60" s="172">
        <f t="shared" si="55"/>
        <v>631900</v>
      </c>
      <c r="E60" s="172">
        <f t="shared" si="55"/>
        <v>1280170.8333333333</v>
      </c>
      <c r="F60" s="172">
        <f t="shared" si="55"/>
        <v>1770489.1666666667</v>
      </c>
      <c r="G60" s="172">
        <f t="shared" si="55"/>
        <v>2116452.5</v>
      </c>
      <c r="H60" s="172">
        <f t="shared" si="55"/>
        <v>2033090.8333333333</v>
      </c>
      <c r="I60" s="172">
        <f t="shared" si="55"/>
        <v>1881458.3333333335</v>
      </c>
      <c r="J60" s="172">
        <f t="shared" si="55"/>
        <v>1764050.8333333335</v>
      </c>
      <c r="K60" s="172">
        <f t="shared" si="55"/>
        <v>1719083.3333333333</v>
      </c>
      <c r="L60" s="172">
        <f t="shared" si="55"/>
        <v>1685595.8333333333</v>
      </c>
      <c r="M60" s="172">
        <f t="shared" si="55"/>
        <v>1632108.3333333335</v>
      </c>
      <c r="N60" s="172">
        <f t="shared" si="55"/>
        <v>1566620.8333333333</v>
      </c>
      <c r="O60" s="172">
        <f t="shared" si="55"/>
        <v>1470945.8333333333</v>
      </c>
      <c r="P60" s="172">
        <f t="shared" si="55"/>
        <v>1341358.3333333335</v>
      </c>
      <c r="Q60" s="172">
        <f t="shared" si="55"/>
        <v>1283370.8333333333</v>
      </c>
      <c r="R60" s="172">
        <f t="shared" si="55"/>
        <v>1158633.3333333335</v>
      </c>
      <c r="S60" s="172">
        <f t="shared" si="55"/>
        <v>1067166.6666666665</v>
      </c>
      <c r="T60" s="172">
        <f t="shared" si="55"/>
        <v>977366.66666666674</v>
      </c>
      <c r="U60" s="172">
        <f t="shared" si="55"/>
        <v>889233.33333333337</v>
      </c>
      <c r="V60" s="172">
        <f t="shared" si="55"/>
        <v>802766.66666666663</v>
      </c>
      <c r="W60" s="172">
        <f t="shared" si="55"/>
        <v>637966.66666666663</v>
      </c>
      <c r="X60" s="172">
        <f t="shared" si="55"/>
        <v>513500</v>
      </c>
      <c r="Y60" s="172">
        <f t="shared" si="55"/>
        <v>502083.33333333331</v>
      </c>
      <c r="Z60" s="172">
        <f t="shared" si="55"/>
        <v>150250</v>
      </c>
      <c r="AA60" s="172">
        <f t="shared" si="55"/>
        <v>46125</v>
      </c>
    </row>
    <row r="61" spans="1:27" ht="15.75" thickBot="1" x14ac:dyDescent="0.3">
      <c r="A61" s="52" t="s">
        <v>81</v>
      </c>
      <c r="B61" s="47"/>
      <c r="C61" s="119">
        <f t="shared" ref="C61:AA61" si="56">C47+C50+C53+C56+C59</f>
        <v>95000</v>
      </c>
      <c r="D61" s="119">
        <f t="shared" si="56"/>
        <v>129125</v>
      </c>
      <c r="E61" s="119">
        <f t="shared" si="56"/>
        <v>178225</v>
      </c>
      <c r="F61" s="119">
        <f t="shared" si="56"/>
        <v>171952.5</v>
      </c>
      <c r="G61" s="119">
        <f t="shared" si="56"/>
        <v>121430</v>
      </c>
      <c r="H61" s="119">
        <f t="shared" si="56"/>
        <v>150157.5</v>
      </c>
      <c r="I61" s="119">
        <f t="shared" si="56"/>
        <v>138010</v>
      </c>
      <c r="J61" s="119">
        <f t="shared" si="56"/>
        <v>125687.5</v>
      </c>
      <c r="K61" s="119">
        <f t="shared" si="56"/>
        <v>123000</v>
      </c>
      <c r="L61" s="119">
        <f t="shared" si="56"/>
        <v>120312.5</v>
      </c>
      <c r="M61" s="119">
        <f t="shared" si="56"/>
        <v>117625</v>
      </c>
      <c r="N61" s="119">
        <f t="shared" si="56"/>
        <v>74937.5</v>
      </c>
      <c r="O61" s="119">
        <f t="shared" si="56"/>
        <v>73250</v>
      </c>
      <c r="P61" s="119">
        <f t="shared" si="56"/>
        <v>41562.5</v>
      </c>
      <c r="Q61" s="119">
        <f t="shared" si="56"/>
        <v>40625</v>
      </c>
      <c r="R61" s="119">
        <f t="shared" si="56"/>
        <v>14687.5</v>
      </c>
      <c r="S61" s="119">
        <f t="shared" si="56"/>
        <v>14375</v>
      </c>
      <c r="T61" s="119">
        <f t="shared" si="56"/>
        <v>14062.5</v>
      </c>
      <c r="U61" s="119">
        <f t="shared" si="56"/>
        <v>13750</v>
      </c>
      <c r="V61" s="119">
        <f t="shared" si="56"/>
        <v>13437.5</v>
      </c>
      <c r="W61" s="119">
        <f t="shared" si="56"/>
        <v>13125</v>
      </c>
      <c r="X61" s="119">
        <f t="shared" si="56"/>
        <v>12812.5</v>
      </c>
      <c r="Y61" s="119">
        <f t="shared" si="56"/>
        <v>0</v>
      </c>
      <c r="Z61" s="119">
        <f t="shared" si="56"/>
        <v>0</v>
      </c>
      <c r="AA61" s="119">
        <f t="shared" si="56"/>
        <v>0</v>
      </c>
    </row>
    <row r="62" spans="1:27" ht="15.75" thickBot="1" x14ac:dyDescent="0.3">
      <c r="A62" s="53" t="s">
        <v>85</v>
      </c>
      <c r="B62" s="45"/>
      <c r="C62" s="173">
        <f t="shared" ref="C62:AA62" si="57">C61+C60</f>
        <v>467000</v>
      </c>
      <c r="D62" s="173">
        <f t="shared" si="57"/>
        <v>761025</v>
      </c>
      <c r="E62" s="173">
        <f t="shared" si="57"/>
        <v>1458395.8333333333</v>
      </c>
      <c r="F62" s="173">
        <f t="shared" si="57"/>
        <v>1942441.6666666667</v>
      </c>
      <c r="G62" s="173">
        <f t="shared" si="57"/>
        <v>2237882.5</v>
      </c>
      <c r="H62" s="173">
        <f t="shared" si="57"/>
        <v>2183248.333333333</v>
      </c>
      <c r="I62" s="173">
        <f t="shared" si="57"/>
        <v>2019468.3333333335</v>
      </c>
      <c r="J62" s="173">
        <f t="shared" si="57"/>
        <v>1889738.3333333335</v>
      </c>
      <c r="K62" s="173">
        <f t="shared" si="57"/>
        <v>1842083.3333333333</v>
      </c>
      <c r="L62" s="173">
        <f t="shared" si="57"/>
        <v>1805908.3333333333</v>
      </c>
      <c r="M62" s="173">
        <f t="shared" si="57"/>
        <v>1749733.3333333335</v>
      </c>
      <c r="N62" s="173">
        <f t="shared" si="57"/>
        <v>1641558.3333333333</v>
      </c>
      <c r="O62" s="173">
        <f t="shared" si="57"/>
        <v>1544195.8333333333</v>
      </c>
      <c r="P62" s="173">
        <f t="shared" si="57"/>
        <v>1382920.8333333335</v>
      </c>
      <c r="Q62" s="173">
        <f t="shared" si="57"/>
        <v>1323995.8333333333</v>
      </c>
      <c r="R62" s="173">
        <f t="shared" si="57"/>
        <v>1173320.8333333335</v>
      </c>
      <c r="S62" s="173">
        <f t="shared" si="57"/>
        <v>1081541.6666666665</v>
      </c>
      <c r="T62" s="173">
        <f t="shared" si="57"/>
        <v>991429.16666666674</v>
      </c>
      <c r="U62" s="173">
        <f t="shared" si="57"/>
        <v>902983.33333333337</v>
      </c>
      <c r="V62" s="173">
        <f t="shared" si="57"/>
        <v>816204.16666666663</v>
      </c>
      <c r="W62" s="173">
        <f t="shared" si="57"/>
        <v>651091.66666666663</v>
      </c>
      <c r="X62" s="173">
        <f t="shared" si="57"/>
        <v>526312.5</v>
      </c>
      <c r="Y62" s="173">
        <f t="shared" si="57"/>
        <v>502083.33333333331</v>
      </c>
      <c r="Z62" s="173">
        <f t="shared" si="57"/>
        <v>150250</v>
      </c>
      <c r="AA62" s="173">
        <f t="shared" si="57"/>
        <v>46125</v>
      </c>
    </row>
    <row r="63" spans="1:27" ht="49.9" customHeight="1" thickBot="1" x14ac:dyDescent="0.35">
      <c r="A63" s="56" t="s">
        <v>89</v>
      </c>
      <c r="C63" s="120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</row>
    <row r="64" spans="1:27" s="14" customFormat="1" ht="15.75" thickBot="1" x14ac:dyDescent="0.3">
      <c r="A64" s="51" t="s">
        <v>86</v>
      </c>
      <c r="B64" s="54"/>
      <c r="C64" s="176">
        <f t="shared" ref="C64:AA64" si="58">C37+C60</f>
        <v>2526872.73</v>
      </c>
      <c r="D64" s="176">
        <f t="shared" si="58"/>
        <v>2703435.85</v>
      </c>
      <c r="E64" s="176">
        <f t="shared" si="58"/>
        <v>3065579.3033333328</v>
      </c>
      <c r="F64" s="176">
        <f t="shared" si="58"/>
        <v>3503976.8666666662</v>
      </c>
      <c r="G64" s="176">
        <f t="shared" si="58"/>
        <v>3742599.17</v>
      </c>
      <c r="H64" s="176">
        <f t="shared" si="58"/>
        <v>3537170.7433333332</v>
      </c>
      <c r="I64" s="176">
        <f t="shared" si="58"/>
        <v>3343852.7233333336</v>
      </c>
      <c r="J64" s="176">
        <f t="shared" si="58"/>
        <v>3168858.1833333336</v>
      </c>
      <c r="K64" s="176">
        <f t="shared" si="58"/>
        <v>3076137.9933333332</v>
      </c>
      <c r="L64" s="176">
        <f t="shared" si="58"/>
        <v>2920189.0133333337</v>
      </c>
      <c r="M64" s="176">
        <f t="shared" si="58"/>
        <v>2759259.2633333337</v>
      </c>
      <c r="N64" s="176">
        <f t="shared" si="58"/>
        <v>2319517.4033333333</v>
      </c>
      <c r="O64" s="176">
        <f t="shared" si="58"/>
        <v>1798747.2833333332</v>
      </c>
      <c r="P64" s="176">
        <f t="shared" si="58"/>
        <v>1598373.3333333335</v>
      </c>
      <c r="Q64" s="176">
        <f t="shared" si="58"/>
        <v>1490608.8333333333</v>
      </c>
      <c r="R64" s="176">
        <f t="shared" si="58"/>
        <v>1237471.3333333335</v>
      </c>
      <c r="S64" s="176">
        <f t="shared" si="58"/>
        <v>1144079.6666666665</v>
      </c>
      <c r="T64" s="176">
        <f t="shared" si="58"/>
        <v>1052354.6666666667</v>
      </c>
      <c r="U64" s="176">
        <f t="shared" si="58"/>
        <v>962296.33333333337</v>
      </c>
      <c r="V64" s="176">
        <f t="shared" si="58"/>
        <v>873816.66666666663</v>
      </c>
      <c r="W64" s="176">
        <f t="shared" si="58"/>
        <v>637966.66666666663</v>
      </c>
      <c r="X64" s="176">
        <f t="shared" si="58"/>
        <v>513500</v>
      </c>
      <c r="Y64" s="176">
        <f t="shared" si="58"/>
        <v>502083.33333333331</v>
      </c>
      <c r="Z64" s="176">
        <f t="shared" si="58"/>
        <v>150250</v>
      </c>
      <c r="AA64" s="176">
        <f t="shared" si="58"/>
        <v>46125</v>
      </c>
    </row>
    <row r="65" spans="1:27" s="14" customFormat="1" ht="15.75" thickBot="1" x14ac:dyDescent="0.3">
      <c r="A65" s="51"/>
      <c r="B65" s="54" t="s">
        <v>176</v>
      </c>
      <c r="C65" s="176" t="s">
        <v>179</v>
      </c>
      <c r="D65" s="176">
        <f>D64-C64</f>
        <v>176563.12000000011</v>
      </c>
      <c r="E65" s="176">
        <f t="shared" ref="E65" si="59">E64-D64</f>
        <v>362143.45333333267</v>
      </c>
      <c r="F65" s="176">
        <f t="shared" ref="F65" si="60">F64-E64</f>
        <v>438397.56333333347</v>
      </c>
      <c r="G65" s="176">
        <f t="shared" ref="G65" si="61">G64-F64</f>
        <v>238622.30333333369</v>
      </c>
      <c r="H65" s="176">
        <f t="shared" ref="H65" si="62">H64-G64</f>
        <v>-205428.42666666675</v>
      </c>
      <c r="I65" s="176">
        <f t="shared" ref="I65" si="63">I64-H64</f>
        <v>-193318.01999999955</v>
      </c>
      <c r="J65" s="176">
        <f t="shared" ref="J65" si="64">J64-I64</f>
        <v>-174994.54000000004</v>
      </c>
      <c r="K65" s="176">
        <f t="shared" ref="K65" si="65">K64-J64</f>
        <v>-92720.19000000041</v>
      </c>
      <c r="L65" s="176">
        <f t="shared" ref="L65" si="66">L64-K64</f>
        <v>-155948.97999999952</v>
      </c>
      <c r="M65" s="176">
        <f t="shared" ref="M65" si="67">M64-L64</f>
        <v>-160929.75</v>
      </c>
      <c r="N65" s="176">
        <f t="shared" ref="N65" si="68">N64-M64</f>
        <v>-439741.86000000034</v>
      </c>
      <c r="O65" s="176">
        <f t="shared" ref="O65" si="69">O64-N64</f>
        <v>-520770.12000000011</v>
      </c>
      <c r="P65" s="176">
        <f t="shared" ref="P65" si="70">P64-O64</f>
        <v>-200373.94999999972</v>
      </c>
      <c r="Q65" s="176">
        <f t="shared" ref="Q65" si="71">Q64-P64</f>
        <v>-107764.50000000023</v>
      </c>
      <c r="R65" s="176">
        <f t="shared" ref="R65" si="72">R64-Q64</f>
        <v>-253137.49999999977</v>
      </c>
      <c r="S65" s="176">
        <f t="shared" ref="S65" si="73">S64-R64</f>
        <v>-93391.666666666977</v>
      </c>
      <c r="T65" s="176">
        <f t="shared" ref="T65" si="74">T64-S64</f>
        <v>-91724.999999999767</v>
      </c>
      <c r="U65" s="176">
        <f t="shared" ref="U65" si="75">U64-T64</f>
        <v>-90058.333333333372</v>
      </c>
      <c r="V65" s="176">
        <f t="shared" ref="V65" si="76">V64-U64</f>
        <v>-88479.666666666744</v>
      </c>
      <c r="W65" s="176">
        <f t="shared" ref="W65" si="77">W64-V64</f>
        <v>-235850</v>
      </c>
      <c r="X65" s="176">
        <f t="shared" ref="X65" si="78">X64-W64</f>
        <v>-124466.66666666663</v>
      </c>
      <c r="Y65" s="176">
        <f t="shared" ref="Y65" si="79">Y64-X64</f>
        <v>-11416.666666666686</v>
      </c>
      <c r="Z65" s="176">
        <f t="shared" ref="Z65" si="80">Z64-Y64</f>
        <v>-351833.33333333331</v>
      </c>
      <c r="AA65" s="176">
        <f t="shared" ref="AA65" si="81">AA64-Z64</f>
        <v>-104125</v>
      </c>
    </row>
    <row r="66" spans="1:27" s="14" customFormat="1" ht="15.75" thickBot="1" x14ac:dyDescent="0.3">
      <c r="A66" s="52" t="s">
        <v>87</v>
      </c>
      <c r="B66" s="55"/>
      <c r="C66" s="142">
        <f t="shared" ref="C66:AA66" si="82">C39+C61</f>
        <v>1575601.13</v>
      </c>
      <c r="D66" s="142">
        <f t="shared" si="82"/>
        <v>1531344.63</v>
      </c>
      <c r="E66" s="142">
        <f t="shared" si="82"/>
        <v>1555405.13</v>
      </c>
      <c r="F66" s="142">
        <f t="shared" si="82"/>
        <v>1500083.15</v>
      </c>
      <c r="G66" s="142">
        <f t="shared" si="82"/>
        <v>1404340.55</v>
      </c>
      <c r="H66" s="142">
        <f t="shared" si="82"/>
        <v>1383077.3</v>
      </c>
      <c r="I66" s="142">
        <f t="shared" si="82"/>
        <v>1331593.44</v>
      </c>
      <c r="J66" s="142">
        <f t="shared" si="82"/>
        <v>1294919.98</v>
      </c>
      <c r="K66" s="142">
        <f t="shared" si="82"/>
        <v>1267670.92</v>
      </c>
      <c r="L66" s="142">
        <f t="shared" si="82"/>
        <v>1153414.03</v>
      </c>
      <c r="M66" s="142">
        <f t="shared" si="82"/>
        <v>1084817.6600000001</v>
      </c>
      <c r="N66" s="142">
        <f t="shared" si="82"/>
        <v>1002569.8</v>
      </c>
      <c r="O66" s="142">
        <f t="shared" si="82"/>
        <v>980589.75</v>
      </c>
      <c r="P66" s="142">
        <f t="shared" si="82"/>
        <v>105697.5</v>
      </c>
      <c r="Q66" s="142">
        <f t="shared" si="82"/>
        <v>83125</v>
      </c>
      <c r="R66" s="142">
        <f t="shared" si="82"/>
        <v>25950.5</v>
      </c>
      <c r="S66" s="142">
        <f t="shared" si="82"/>
        <v>25363</v>
      </c>
      <c r="T66" s="142">
        <f t="shared" si="82"/>
        <v>24775.5</v>
      </c>
      <c r="U66" s="142">
        <f t="shared" si="82"/>
        <v>24188</v>
      </c>
      <c r="V66" s="142">
        <f t="shared" si="82"/>
        <v>23587.5</v>
      </c>
      <c r="W66" s="142">
        <f t="shared" si="82"/>
        <v>13125</v>
      </c>
      <c r="X66" s="142">
        <f t="shared" si="82"/>
        <v>12812.5</v>
      </c>
      <c r="Y66" s="142">
        <f t="shared" si="82"/>
        <v>0</v>
      </c>
      <c r="Z66" s="142">
        <f t="shared" si="82"/>
        <v>0</v>
      </c>
      <c r="AA66" s="142">
        <f t="shared" si="82"/>
        <v>0</v>
      </c>
    </row>
    <row r="67" spans="1:27" s="14" customFormat="1" ht="15.75" thickBot="1" x14ac:dyDescent="0.3">
      <c r="A67" s="185"/>
      <c r="B67" s="186" t="s">
        <v>176</v>
      </c>
      <c r="C67" s="187" t="s">
        <v>179</v>
      </c>
      <c r="D67" s="187">
        <f>D66-C66</f>
        <v>-44256.5</v>
      </c>
      <c r="E67" s="187">
        <f t="shared" ref="E67" si="83">E66-D66</f>
        <v>24060.5</v>
      </c>
      <c r="F67" s="187">
        <f t="shared" ref="F67" si="84">F66-E66</f>
        <v>-55321.979999999981</v>
      </c>
      <c r="G67" s="187">
        <f t="shared" ref="G67" si="85">G66-F66</f>
        <v>-95742.59999999986</v>
      </c>
      <c r="H67" s="187">
        <f t="shared" ref="H67" si="86">H66-G66</f>
        <v>-21263.25</v>
      </c>
      <c r="I67" s="187">
        <f t="shared" ref="I67" si="87">I66-H66</f>
        <v>-51483.860000000102</v>
      </c>
      <c r="J67" s="187">
        <f t="shared" ref="J67" si="88">J66-I66</f>
        <v>-36673.459999999963</v>
      </c>
      <c r="K67" s="187">
        <f t="shared" ref="K67" si="89">K66-J66</f>
        <v>-27249.060000000056</v>
      </c>
      <c r="L67" s="187">
        <f t="shared" ref="L67" si="90">L66-K66</f>
        <v>-114256.8899999999</v>
      </c>
      <c r="M67" s="187">
        <f t="shared" ref="M67" si="91">M66-L66</f>
        <v>-68596.369999999879</v>
      </c>
      <c r="N67" s="187">
        <f t="shared" ref="N67" si="92">N66-M66</f>
        <v>-82247.860000000102</v>
      </c>
      <c r="O67" s="187">
        <f t="shared" ref="O67" si="93">O66-N66</f>
        <v>-21980.050000000047</v>
      </c>
      <c r="P67" s="187">
        <f t="shared" ref="P67" si="94">P66-O66</f>
        <v>-874892.25</v>
      </c>
      <c r="Q67" s="187">
        <f t="shared" ref="Q67" si="95">Q66-P66</f>
        <v>-22572.5</v>
      </c>
      <c r="R67" s="187">
        <f t="shared" ref="R67" si="96">R66-Q66</f>
        <v>-57174.5</v>
      </c>
      <c r="S67" s="187">
        <f t="shared" ref="S67" si="97">S66-R66</f>
        <v>-587.5</v>
      </c>
      <c r="T67" s="187">
        <f t="shared" ref="T67" si="98">T66-S66</f>
        <v>-587.5</v>
      </c>
      <c r="U67" s="187">
        <f t="shared" ref="U67" si="99">U66-T66</f>
        <v>-587.5</v>
      </c>
      <c r="V67" s="187">
        <f t="shared" ref="V67" si="100">V66-U66</f>
        <v>-600.5</v>
      </c>
      <c r="W67" s="187">
        <f t="shared" ref="W67" si="101">W66-V66</f>
        <v>-10462.5</v>
      </c>
      <c r="X67" s="187">
        <f t="shared" ref="X67" si="102">X66-W66</f>
        <v>-312.5</v>
      </c>
      <c r="Y67" s="187">
        <f t="shared" ref="Y67" si="103">Y66-X66</f>
        <v>-12812.5</v>
      </c>
      <c r="Z67" s="187">
        <f t="shared" ref="Z67" si="104">Z66-Y66</f>
        <v>0</v>
      </c>
      <c r="AA67" s="187">
        <f t="shared" ref="AA67" si="105">AA66-Z66</f>
        <v>0</v>
      </c>
    </row>
    <row r="68" spans="1:27" s="14" customFormat="1" x14ac:dyDescent="0.25">
      <c r="A68" s="177" t="s">
        <v>88</v>
      </c>
      <c r="B68" s="183"/>
      <c r="C68" s="184">
        <f t="shared" ref="C68:AA68" si="106">C41+C62</f>
        <v>4102473.86</v>
      </c>
      <c r="D68" s="184">
        <f t="shared" si="106"/>
        <v>4234780.4800000004</v>
      </c>
      <c r="E68" s="184">
        <f t="shared" si="106"/>
        <v>4620984.4333333327</v>
      </c>
      <c r="F68" s="184">
        <f t="shared" si="106"/>
        <v>5004060.0166666666</v>
      </c>
      <c r="G68" s="184">
        <f t="shared" si="106"/>
        <v>5146939.72</v>
      </c>
      <c r="H68" s="184">
        <f t="shared" si="106"/>
        <v>4920248.043333333</v>
      </c>
      <c r="I68" s="184">
        <f t="shared" si="106"/>
        <v>4675446.163333334</v>
      </c>
      <c r="J68" s="184">
        <f t="shared" si="106"/>
        <v>4463778.163333334</v>
      </c>
      <c r="K68" s="184">
        <f t="shared" si="106"/>
        <v>4343808.9133333331</v>
      </c>
      <c r="L68" s="184">
        <f t="shared" si="106"/>
        <v>4073603.043333333</v>
      </c>
      <c r="M68" s="184">
        <f t="shared" si="106"/>
        <v>3844076.9233333333</v>
      </c>
      <c r="N68" s="184">
        <f t="shared" si="106"/>
        <v>3322087.2033333331</v>
      </c>
      <c r="O68" s="184">
        <f t="shared" si="106"/>
        <v>2779337.0333333332</v>
      </c>
      <c r="P68" s="184">
        <f t="shared" si="106"/>
        <v>1704070.8333333335</v>
      </c>
      <c r="Q68" s="184">
        <f t="shared" si="106"/>
        <v>1573733.8333333333</v>
      </c>
      <c r="R68" s="184">
        <f t="shared" si="106"/>
        <v>1263421.8333333335</v>
      </c>
      <c r="S68" s="184">
        <f t="shared" si="106"/>
        <v>1169442.6666666665</v>
      </c>
      <c r="T68" s="184">
        <f t="shared" si="106"/>
        <v>1077130.1666666667</v>
      </c>
      <c r="U68" s="184">
        <f t="shared" si="106"/>
        <v>986484.33333333337</v>
      </c>
      <c r="V68" s="184">
        <f t="shared" si="106"/>
        <v>897404.16666666663</v>
      </c>
      <c r="W68" s="184">
        <f t="shared" si="106"/>
        <v>651091.66666666663</v>
      </c>
      <c r="X68" s="184">
        <f t="shared" si="106"/>
        <v>526312.5</v>
      </c>
      <c r="Y68" s="184">
        <f t="shared" si="106"/>
        <v>502083.33333333331</v>
      </c>
      <c r="Z68" s="184">
        <f t="shared" si="106"/>
        <v>150250</v>
      </c>
      <c r="AA68" s="184">
        <f t="shared" si="106"/>
        <v>46125</v>
      </c>
    </row>
    <row r="69" spans="1:27" ht="15.75" thickBot="1" x14ac:dyDescent="0.3">
      <c r="A69" s="180"/>
      <c r="B69" s="180" t="s">
        <v>176</v>
      </c>
      <c r="C69" s="181" t="s">
        <v>179</v>
      </c>
      <c r="D69" s="182">
        <f>D68-C68</f>
        <v>132306.62000000058</v>
      </c>
      <c r="E69" s="182">
        <f t="shared" ref="E69" si="107">E68-D68</f>
        <v>386203.9533333322</v>
      </c>
      <c r="F69" s="182">
        <f t="shared" ref="F69" si="108">F68-E68</f>
        <v>383075.58333333395</v>
      </c>
      <c r="G69" s="182">
        <f t="shared" ref="G69" si="109">G68-F68</f>
        <v>142879.70333333313</v>
      </c>
      <c r="H69" s="182">
        <f t="shared" ref="H69" si="110">H68-G68</f>
        <v>-226691.67666666675</v>
      </c>
      <c r="I69" s="182">
        <f t="shared" ref="I69" si="111">I68-H68</f>
        <v>-244801.87999999896</v>
      </c>
      <c r="J69" s="182">
        <f t="shared" ref="J69" si="112">J68-I68</f>
        <v>-211668</v>
      </c>
      <c r="K69" s="182">
        <f t="shared" ref="K69" si="113">K68-J68</f>
        <v>-119969.25000000093</v>
      </c>
      <c r="L69" s="182">
        <f t="shared" ref="L69" si="114">L68-K68</f>
        <v>-270205.87000000011</v>
      </c>
      <c r="M69" s="182">
        <f t="shared" ref="M69" si="115">M68-L68</f>
        <v>-229526.11999999965</v>
      </c>
      <c r="N69" s="182">
        <f t="shared" ref="N69" si="116">N68-M68</f>
        <v>-521989.7200000002</v>
      </c>
      <c r="O69" s="182">
        <f t="shared" ref="O69" si="117">O68-N68</f>
        <v>-542750.16999999993</v>
      </c>
      <c r="P69" s="182">
        <f t="shared" ref="P69" si="118">P68-O68</f>
        <v>-1075266.1999999997</v>
      </c>
      <c r="Q69" s="182">
        <f t="shared" ref="Q69" si="119">Q68-P68</f>
        <v>-130337.00000000023</v>
      </c>
      <c r="R69" s="182">
        <f t="shared" ref="R69" si="120">R68-Q68</f>
        <v>-310311.99999999977</v>
      </c>
      <c r="S69" s="182">
        <f t="shared" ref="S69" si="121">S68-R68</f>
        <v>-93979.166666666977</v>
      </c>
      <c r="T69" s="182">
        <f t="shared" ref="T69" si="122">T68-S68</f>
        <v>-92312.499999999767</v>
      </c>
      <c r="U69" s="182">
        <f t="shared" ref="U69" si="123">U68-T68</f>
        <v>-90645.833333333372</v>
      </c>
      <c r="V69" s="182">
        <f t="shared" ref="V69" si="124">V68-U68</f>
        <v>-89080.166666666744</v>
      </c>
      <c r="W69" s="182">
        <f t="shared" ref="W69" si="125">W68-V68</f>
        <v>-246312.5</v>
      </c>
      <c r="X69" s="182">
        <f t="shared" ref="X69" si="126">X68-W68</f>
        <v>-124779.16666666663</v>
      </c>
      <c r="Y69" s="182">
        <f t="shared" ref="Y69" si="127">Y68-X68</f>
        <v>-24229.166666666686</v>
      </c>
      <c r="Z69" s="182">
        <f t="shared" ref="Z69" si="128">Z68-Y68</f>
        <v>-351833.33333333331</v>
      </c>
      <c r="AA69" s="182">
        <f t="shared" ref="AA69" si="129">AA68-Z68</f>
        <v>-104125</v>
      </c>
    </row>
  </sheetData>
  <pageMargins left="0.7" right="0.7" top="0.75" bottom="0.75" header="0.3" footer="0.3"/>
  <pageSetup paperSize="3" scale="5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52430-16FF-4ED8-923B-9CE0B5D8A47D}">
  <sheetPr>
    <pageSetUpPr fitToPage="1"/>
  </sheetPr>
  <dimension ref="A1:G30"/>
  <sheetViews>
    <sheetView workbookViewId="0">
      <selection activeCell="A2" sqref="A2"/>
    </sheetView>
  </sheetViews>
  <sheetFormatPr defaultRowHeight="15" x14ac:dyDescent="0.25"/>
  <cols>
    <col min="1" max="1" width="12.85546875" customWidth="1"/>
    <col min="2" max="2" width="9.7109375" customWidth="1"/>
    <col min="3" max="3" width="15.7109375" customWidth="1"/>
    <col min="4" max="4" width="5.85546875" customWidth="1"/>
    <col min="5" max="7" width="15.7109375" customWidth="1"/>
  </cols>
  <sheetData>
    <row r="1" spans="1:7" ht="23.25" x14ac:dyDescent="0.35">
      <c r="A1" s="236" t="str">
        <f>'FY21 Capital Program'!A1</f>
        <v>Voter Approved: July 14, 2020</v>
      </c>
      <c r="B1" s="237"/>
      <c r="C1" s="237"/>
      <c r="D1" s="237"/>
      <c r="E1" s="237"/>
      <c r="F1" s="237"/>
      <c r="G1" s="237"/>
    </row>
    <row r="2" spans="1:7" ht="23.25" x14ac:dyDescent="0.35">
      <c r="A2" s="4" t="s">
        <v>202</v>
      </c>
    </row>
    <row r="3" spans="1:7" x14ac:dyDescent="0.25">
      <c r="A3" s="234">
        <f>'FY21 Capital Program'!A3</f>
        <v>44026</v>
      </c>
    </row>
    <row r="4" spans="1:7" x14ac:dyDescent="0.25">
      <c r="A4" s="110"/>
    </row>
    <row r="5" spans="1:7" x14ac:dyDescent="0.25">
      <c r="A5" s="110"/>
    </row>
    <row r="6" spans="1:7" ht="48" thickBot="1" x14ac:dyDescent="0.3">
      <c r="A6" s="205" t="s">
        <v>180</v>
      </c>
      <c r="B6" s="205"/>
      <c r="C6" s="205" t="s">
        <v>181</v>
      </c>
      <c r="D6" s="206"/>
      <c r="E6" s="207" t="s">
        <v>182</v>
      </c>
      <c r="F6" s="207" t="s">
        <v>183</v>
      </c>
      <c r="G6" s="207" t="s">
        <v>184</v>
      </c>
    </row>
    <row r="7" spans="1:7" ht="15.75" x14ac:dyDescent="0.25">
      <c r="A7" s="208" t="s">
        <v>185</v>
      </c>
      <c r="B7" s="208"/>
      <c r="C7" s="209">
        <v>1173932</v>
      </c>
      <c r="D7" s="210"/>
      <c r="E7" s="211" t="s">
        <v>27</v>
      </c>
      <c r="F7" s="211" t="s">
        <v>27</v>
      </c>
      <c r="G7" s="211" t="s">
        <v>27</v>
      </c>
    </row>
    <row r="8" spans="1:7" ht="15.75" x14ac:dyDescent="0.25">
      <c r="A8" s="208" t="s">
        <v>186</v>
      </c>
      <c r="B8" s="208"/>
      <c r="C8" s="209">
        <v>2365057</v>
      </c>
      <c r="D8" s="210"/>
      <c r="E8" s="211" t="s">
        <v>27</v>
      </c>
      <c r="F8" s="211" t="s">
        <v>27</v>
      </c>
      <c r="G8" s="211" t="s">
        <v>27</v>
      </c>
    </row>
    <row r="9" spans="1:7" ht="15.75" x14ac:dyDescent="0.25">
      <c r="A9" s="208" t="s">
        <v>187</v>
      </c>
      <c r="B9" s="208"/>
      <c r="C9" s="209">
        <v>668500</v>
      </c>
      <c r="D9" s="210"/>
      <c r="E9" s="211" t="s">
        <v>27</v>
      </c>
      <c r="F9" s="211" t="s">
        <v>27</v>
      </c>
      <c r="G9" s="211" t="s">
        <v>27</v>
      </c>
    </row>
    <row r="10" spans="1:7" ht="15.75" x14ac:dyDescent="0.25">
      <c r="A10" s="208" t="s">
        <v>188</v>
      </c>
      <c r="B10" s="208"/>
      <c r="C10" s="209">
        <v>5172425</v>
      </c>
      <c r="D10" s="210"/>
      <c r="E10" s="211" t="s">
        <v>27</v>
      </c>
      <c r="F10" s="211" t="s">
        <v>27</v>
      </c>
      <c r="G10" s="211" t="s">
        <v>27</v>
      </c>
    </row>
    <row r="11" spans="1:7" ht="15.75" x14ac:dyDescent="0.25">
      <c r="A11" s="208" t="s">
        <v>189</v>
      </c>
      <c r="B11" s="208"/>
      <c r="C11" s="209">
        <v>7386022</v>
      </c>
      <c r="D11" s="210"/>
      <c r="E11" s="212">
        <f>SUM(C7:C11)</f>
        <v>16765936</v>
      </c>
      <c r="F11" s="209">
        <v>35000000</v>
      </c>
      <c r="G11" s="212">
        <f>F11-E11</f>
        <v>18234064</v>
      </c>
    </row>
    <row r="12" spans="1:7" ht="15.75" x14ac:dyDescent="0.25">
      <c r="A12" s="208" t="s">
        <v>190</v>
      </c>
      <c r="B12" s="208"/>
      <c r="C12" s="209">
        <v>5103893</v>
      </c>
      <c r="D12" s="210"/>
      <c r="E12" s="212">
        <f t="shared" ref="E12:E26" si="0">SUM(C8:C12)</f>
        <v>20695897</v>
      </c>
      <c r="F12" s="209">
        <v>35000000</v>
      </c>
      <c r="G12" s="212">
        <f t="shared" ref="G12:G26" si="1">F12-E12</f>
        <v>14304103</v>
      </c>
    </row>
    <row r="13" spans="1:7" ht="15.75" x14ac:dyDescent="0.25">
      <c r="A13" s="208" t="s">
        <v>191</v>
      </c>
      <c r="B13" s="208"/>
      <c r="C13" s="209">
        <v>12293569</v>
      </c>
      <c r="D13" s="210"/>
      <c r="E13" s="212">
        <f t="shared" si="0"/>
        <v>30624409</v>
      </c>
      <c r="F13" s="209">
        <v>35000000</v>
      </c>
      <c r="G13" s="212">
        <f t="shared" si="1"/>
        <v>4375591</v>
      </c>
    </row>
    <row r="14" spans="1:7" ht="15.75" x14ac:dyDescent="0.25">
      <c r="A14" s="208" t="s">
        <v>192</v>
      </c>
      <c r="B14" s="208"/>
      <c r="C14" s="209">
        <v>4727006</v>
      </c>
      <c r="D14" s="210"/>
      <c r="E14" s="212">
        <f t="shared" si="0"/>
        <v>34682915</v>
      </c>
      <c r="F14" s="209">
        <v>35000000</v>
      </c>
      <c r="G14" s="212">
        <f t="shared" si="1"/>
        <v>317085</v>
      </c>
    </row>
    <row r="15" spans="1:7" ht="15.75" x14ac:dyDescent="0.25">
      <c r="A15" s="208" t="s">
        <v>193</v>
      </c>
      <c r="B15" s="208"/>
      <c r="C15" s="209">
        <v>3033652</v>
      </c>
      <c r="D15" s="210"/>
      <c r="E15" s="212">
        <f t="shared" si="0"/>
        <v>32544142</v>
      </c>
      <c r="F15" s="209">
        <v>35000000</v>
      </c>
      <c r="G15" s="212">
        <f t="shared" si="1"/>
        <v>2455858</v>
      </c>
    </row>
    <row r="16" spans="1:7" ht="15.75" x14ac:dyDescent="0.25">
      <c r="A16" s="213" t="s">
        <v>194</v>
      </c>
      <c r="B16" s="213"/>
      <c r="C16" s="214">
        <v>2166415</v>
      </c>
      <c r="D16" s="210"/>
      <c r="E16" s="212">
        <f t="shared" si="0"/>
        <v>27324535</v>
      </c>
      <c r="F16" s="209">
        <v>35000000</v>
      </c>
      <c r="G16" s="212">
        <f t="shared" si="1"/>
        <v>7675465</v>
      </c>
    </row>
    <row r="17" spans="1:7" ht="15.75" x14ac:dyDescent="0.25">
      <c r="A17" s="215" t="s">
        <v>195</v>
      </c>
      <c r="B17" s="215"/>
      <c r="C17" s="210">
        <v>12082000</v>
      </c>
      <c r="D17" s="210"/>
      <c r="E17" s="216">
        <f t="shared" si="0"/>
        <v>34302642</v>
      </c>
      <c r="F17" s="217">
        <v>35000000</v>
      </c>
      <c r="G17" s="216">
        <f t="shared" si="1"/>
        <v>697358</v>
      </c>
    </row>
    <row r="18" spans="1:7" ht="15.75" x14ac:dyDescent="0.25">
      <c r="A18" s="215" t="s">
        <v>196</v>
      </c>
      <c r="B18" s="215"/>
      <c r="C18" s="210">
        <v>4111000</v>
      </c>
      <c r="D18" s="210"/>
      <c r="E18" s="216">
        <f t="shared" si="0"/>
        <v>26120073</v>
      </c>
      <c r="F18" s="217">
        <v>35000000</v>
      </c>
      <c r="G18" s="216">
        <f t="shared" si="1"/>
        <v>8879927</v>
      </c>
    </row>
    <row r="19" spans="1:7" ht="15.75" x14ac:dyDescent="0.25">
      <c r="A19" s="215" t="s">
        <v>197</v>
      </c>
      <c r="B19" s="215"/>
      <c r="C19" s="210">
        <f>3240000+216000</f>
        <v>3456000</v>
      </c>
      <c r="D19" s="210"/>
      <c r="E19" s="216">
        <f t="shared" si="0"/>
        <v>24849067</v>
      </c>
      <c r="F19" s="217">
        <v>35000000</v>
      </c>
      <c r="G19" s="216">
        <f t="shared" si="1"/>
        <v>10150933</v>
      </c>
    </row>
    <row r="20" spans="1:7" ht="15.75" x14ac:dyDescent="0.25">
      <c r="A20" s="215" t="s">
        <v>198</v>
      </c>
      <c r="B20" s="215"/>
      <c r="C20" s="210">
        <v>4692000</v>
      </c>
      <c r="D20" s="210"/>
      <c r="E20" s="216">
        <f t="shared" si="0"/>
        <v>26507415</v>
      </c>
      <c r="F20" s="217">
        <v>35000000</v>
      </c>
      <c r="G20" s="216">
        <f t="shared" si="1"/>
        <v>8492585</v>
      </c>
    </row>
    <row r="21" spans="1:7" ht="15.75" x14ac:dyDescent="0.25">
      <c r="A21" s="215" t="s">
        <v>199</v>
      </c>
      <c r="B21" s="215"/>
      <c r="C21" s="210">
        <v>4067000</v>
      </c>
      <c r="D21" s="210"/>
      <c r="E21" s="216">
        <f t="shared" si="0"/>
        <v>28408000</v>
      </c>
      <c r="F21" s="217">
        <v>35000000</v>
      </c>
      <c r="G21" s="216">
        <f t="shared" si="1"/>
        <v>6592000</v>
      </c>
    </row>
    <row r="22" spans="1:7" ht="15.75" x14ac:dyDescent="0.25">
      <c r="A22" s="215" t="s">
        <v>1</v>
      </c>
      <c r="B22" s="218" t="s">
        <v>200</v>
      </c>
      <c r="C22" s="229">
        <f>'FY21 Capital Program'!F31</f>
        <v>5139000</v>
      </c>
      <c r="D22" s="210"/>
      <c r="E22" s="216">
        <f t="shared" si="0"/>
        <v>21465000</v>
      </c>
      <c r="F22" s="217">
        <v>35000000</v>
      </c>
      <c r="G22" s="216">
        <f t="shared" si="1"/>
        <v>13535000</v>
      </c>
    </row>
    <row r="23" spans="1:7" ht="15.75" x14ac:dyDescent="0.25">
      <c r="A23" s="215" t="s">
        <v>2</v>
      </c>
      <c r="B23" s="218" t="s">
        <v>200</v>
      </c>
      <c r="C23" s="229">
        <f>'FY22 Capital Program'!F24</f>
        <v>9169000</v>
      </c>
      <c r="D23" s="210"/>
      <c r="E23" s="216">
        <f t="shared" si="0"/>
        <v>26523000</v>
      </c>
      <c r="F23" s="217">
        <v>35000000</v>
      </c>
      <c r="G23" s="216">
        <f t="shared" si="1"/>
        <v>8477000</v>
      </c>
    </row>
    <row r="24" spans="1:7" ht="15.75" x14ac:dyDescent="0.25">
      <c r="A24" s="215" t="s">
        <v>3</v>
      </c>
      <c r="B24" s="218" t="s">
        <v>200</v>
      </c>
      <c r="C24" s="229">
        <f>'FY23 Capital Program'!F23</f>
        <v>4173000</v>
      </c>
      <c r="D24" s="210"/>
      <c r="E24" s="216">
        <f t="shared" si="0"/>
        <v>27240000</v>
      </c>
      <c r="F24" s="217">
        <v>35000000</v>
      </c>
      <c r="G24" s="216">
        <f t="shared" si="1"/>
        <v>7760000</v>
      </c>
    </row>
    <row r="25" spans="1:7" ht="15.75" x14ac:dyDescent="0.25">
      <c r="A25" s="215" t="s">
        <v>33</v>
      </c>
      <c r="B25" s="218" t="s">
        <v>200</v>
      </c>
      <c r="C25" s="229">
        <f>'FY 24 Capital Program'!F20</f>
        <v>3741000</v>
      </c>
      <c r="D25" s="210"/>
      <c r="E25" s="216">
        <f t="shared" si="0"/>
        <v>26289000</v>
      </c>
      <c r="F25" s="217">
        <v>35000000</v>
      </c>
      <c r="G25" s="216">
        <f t="shared" si="1"/>
        <v>8711000</v>
      </c>
    </row>
    <row r="26" spans="1:7" ht="16.5" thickBot="1" x14ac:dyDescent="0.3">
      <c r="A26" s="219" t="s">
        <v>34</v>
      </c>
      <c r="B26" s="220" t="s">
        <v>200</v>
      </c>
      <c r="C26" s="230">
        <f>'FY 25 Capital Program'!F25</f>
        <v>4911000</v>
      </c>
      <c r="D26" s="210"/>
      <c r="E26" s="222">
        <f t="shared" si="0"/>
        <v>27133000</v>
      </c>
      <c r="F26" s="221">
        <v>35000000</v>
      </c>
      <c r="G26" s="222">
        <f t="shared" si="1"/>
        <v>7867000</v>
      </c>
    </row>
    <row r="27" spans="1:7" ht="15.75" x14ac:dyDescent="0.25">
      <c r="A27" s="223" t="s">
        <v>201</v>
      </c>
      <c r="B27" s="223"/>
      <c r="C27" s="224">
        <f>SUM(C7:C26)</f>
        <v>99631471</v>
      </c>
      <c r="D27" s="225"/>
      <c r="E27" s="226"/>
      <c r="F27" s="208"/>
      <c r="G27" s="227"/>
    </row>
    <row r="28" spans="1:7" ht="15.75" x14ac:dyDescent="0.25">
      <c r="A28" s="223" t="s">
        <v>204</v>
      </c>
      <c r="B28" s="223"/>
      <c r="C28" s="224">
        <f>C27/20</f>
        <v>4981573.55</v>
      </c>
      <c r="D28" s="225"/>
      <c r="E28" s="226"/>
      <c r="F28" s="208"/>
      <c r="G28" s="227"/>
    </row>
    <row r="29" spans="1:7" x14ac:dyDescent="0.25">
      <c r="C29" s="120"/>
      <c r="D29" s="120"/>
      <c r="G29" s="228"/>
    </row>
    <row r="30" spans="1:7" x14ac:dyDescent="0.25">
      <c r="A30" s="235" t="s">
        <v>203</v>
      </c>
      <c r="B30" s="235"/>
      <c r="C30" s="235"/>
      <c r="D30" s="235"/>
      <c r="E30" s="235"/>
      <c r="F30" s="235"/>
      <c r="G30" s="235"/>
    </row>
  </sheetData>
  <mergeCells count="2">
    <mergeCell ref="A30:G30"/>
    <mergeCell ref="A1:G1"/>
  </mergeCells>
  <pageMargins left="0.7" right="0.7" top="0.75" bottom="0.75" header="0.3" footer="0.3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FY21 Capital Program</vt:lpstr>
      <vt:lpstr>FY22 Capital Program</vt:lpstr>
      <vt:lpstr>FY23 Capital Program</vt:lpstr>
      <vt:lpstr>FY 24 Capital Program</vt:lpstr>
      <vt:lpstr>FY 25 Capital Program</vt:lpstr>
      <vt:lpstr>Payments Table</vt:lpstr>
      <vt:lpstr>Historical Timeline</vt:lpstr>
      <vt:lpstr>'FY21 Capital Program'!Print_Area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Burns</dc:creator>
  <cp:lastModifiedBy>Stephen H. Burns</cp:lastModifiedBy>
  <cp:lastPrinted>2020-03-06T20:50:50Z</cp:lastPrinted>
  <dcterms:created xsi:type="dcterms:W3CDTF">2014-10-02T12:21:30Z</dcterms:created>
  <dcterms:modified xsi:type="dcterms:W3CDTF">2020-09-18T14:12:51Z</dcterms:modified>
</cp:coreProperties>
</file>